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e09c822f254df3/Documents - Job/_IGES/corrigenda/AFOLU_Supplemental Information Chapter 10/to publish/"/>
    </mc:Choice>
  </mc:AlternateContent>
  <xr:revisionPtr revIDLastSave="3" documentId="11_EE92D3769A42419081C03DEA2542E977C887F964" xr6:coauthVersionLast="47" xr6:coauthVersionMax="47" xr10:uidLastSave="{92FB3F5A-C32E-4451-9347-B20EEEF122BA}"/>
  <bookViews>
    <workbookView xWindow="28680" yWindow="-120" windowWidth="38640" windowHeight="15840" activeTab="2" xr2:uid="{00000000-000D-0000-FFFF-FFFF00000000}"/>
  </bookViews>
  <sheets>
    <sheet name="Enteric_19" sheetId="5" r:id="rId1"/>
    <sheet name="VS_19" sheetId="8" r:id="rId2"/>
    <sheet name="Nex_19" sheetId="10" r:id="rId3"/>
  </sheets>
  <definedNames>
    <definedName name="_xlnm.Print_Titles" localSheetId="0">Enteric_19!$2:$4</definedName>
    <definedName name="_xlnm.Print_Titles" localSheetId="2">Nex_19!$3:$5</definedName>
    <definedName name="_xlnm.Print_Titles" localSheetId="1">VS_19!$4:$5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0" i="5" l="1"/>
  <c r="B95" i="5" l="1"/>
  <c r="B101" i="5"/>
  <c r="M95" i="5"/>
  <c r="M101" i="5"/>
  <c r="N103" i="5"/>
  <c r="N104" i="5"/>
  <c r="N105" i="5"/>
  <c r="N102" i="5"/>
  <c r="N97" i="5"/>
  <c r="N98" i="5"/>
  <c r="N99" i="5"/>
  <c r="N100" i="5"/>
  <c r="N96" i="5"/>
  <c r="B111" i="5"/>
  <c r="B116" i="5"/>
  <c r="M116" i="5"/>
  <c r="M111" i="5"/>
  <c r="N113" i="5"/>
  <c r="N114" i="5"/>
  <c r="N115" i="5"/>
  <c r="N112" i="5"/>
  <c r="N118" i="5"/>
  <c r="N119" i="5"/>
  <c r="N120" i="5"/>
  <c r="N117" i="5"/>
  <c r="B84" i="5"/>
  <c r="B77" i="5"/>
  <c r="M84" i="5"/>
  <c r="M77" i="5"/>
  <c r="N86" i="5"/>
  <c r="N87" i="5"/>
  <c r="N88" i="5"/>
  <c r="N85" i="5"/>
  <c r="N79" i="5"/>
  <c r="N80" i="5"/>
  <c r="N81" i="5"/>
  <c r="N82" i="5"/>
  <c r="N83" i="5"/>
  <c r="N78" i="5"/>
  <c r="B64" i="5"/>
  <c r="M64" i="5"/>
  <c r="N66" i="5"/>
  <c r="N67" i="5"/>
  <c r="N68" i="5"/>
  <c r="N65" i="5"/>
  <c r="N59" i="5"/>
  <c r="N62" i="5"/>
  <c r="N63" i="5"/>
  <c r="N47" i="5"/>
  <c r="M59" i="5"/>
  <c r="M58" i="5"/>
  <c r="N58" i="5" s="1"/>
  <c r="B42" i="5"/>
  <c r="M42" i="5"/>
  <c r="N44" i="5"/>
  <c r="N45" i="5"/>
  <c r="N46" i="5"/>
  <c r="N48" i="5"/>
  <c r="N49" i="5"/>
  <c r="N43" i="5"/>
  <c r="B35" i="5"/>
  <c r="M35" i="5"/>
  <c r="N37" i="5"/>
  <c r="N38" i="5"/>
  <c r="N39" i="5"/>
  <c r="N40" i="5"/>
  <c r="N41" i="5"/>
  <c r="N36" i="5"/>
  <c r="B23" i="5"/>
  <c r="B18" i="5"/>
  <c r="B13" i="5"/>
  <c r="B5" i="5"/>
  <c r="O42" i="5" l="1"/>
  <c r="C5" i="8"/>
  <c r="D5" i="8" s="1"/>
  <c r="H5" i="8" l="1"/>
  <c r="K116" i="10"/>
  <c r="K115" i="10"/>
  <c r="O244" i="5"/>
  <c r="O243" i="5"/>
  <c r="O242" i="5"/>
  <c r="O241" i="5"/>
  <c r="O239" i="5"/>
  <c r="O238" i="5"/>
  <c r="O237" i="5"/>
  <c r="O236" i="5"/>
  <c r="O229" i="5"/>
  <c r="O228" i="5"/>
  <c r="O227" i="5"/>
  <c r="O226" i="5"/>
  <c r="O224" i="5"/>
  <c r="O223" i="5"/>
  <c r="O222" i="5"/>
  <c r="O221" i="5"/>
  <c r="O220" i="5"/>
  <c r="O216" i="5"/>
  <c r="O212" i="5"/>
  <c r="O211" i="5"/>
  <c r="O210" i="5"/>
  <c r="O209" i="5"/>
  <c r="O207" i="5"/>
  <c r="O206" i="5"/>
  <c r="O205" i="5"/>
  <c r="O204" i="5"/>
  <c r="O203" i="5"/>
  <c r="O202" i="5"/>
  <c r="O173" i="5"/>
  <c r="E173" i="5"/>
  <c r="B168" i="5"/>
  <c r="B169" i="5"/>
  <c r="D169" i="5" s="1"/>
  <c r="B170" i="5"/>
  <c r="D170" i="5" s="1"/>
  <c r="B171" i="5"/>
  <c r="D171" i="5" s="1"/>
  <c r="B172" i="5"/>
  <c r="D172" i="5" s="1"/>
  <c r="B173" i="5"/>
  <c r="B167" i="5"/>
  <c r="B161" i="5"/>
  <c r="B162" i="5"/>
  <c r="D162" i="5" s="1"/>
  <c r="B163" i="5"/>
  <c r="B164" i="5"/>
  <c r="D164" i="5" s="1"/>
  <c r="B165" i="5"/>
  <c r="D165" i="5" s="1"/>
  <c r="B160" i="5"/>
  <c r="D160" i="5" s="1"/>
  <c r="K34" i="5"/>
  <c r="E35" i="10" s="1"/>
  <c r="J34" i="5"/>
  <c r="K72" i="5"/>
  <c r="E71" i="5"/>
  <c r="B72" i="5"/>
  <c r="D163" i="5" l="1"/>
  <c r="D168" i="5"/>
  <c r="D161" i="5"/>
  <c r="D167" i="5"/>
  <c r="C122" i="8" l="1"/>
  <c r="D122" i="8"/>
  <c r="E122" i="8"/>
  <c r="F122" i="8"/>
  <c r="G122" i="8"/>
  <c r="I122" i="8"/>
  <c r="D45" i="8" l="1"/>
  <c r="D46" i="8"/>
  <c r="D47" i="8"/>
  <c r="D48" i="8"/>
  <c r="D49" i="8"/>
  <c r="D50" i="8"/>
  <c r="D44" i="8"/>
  <c r="A45" i="8"/>
  <c r="A46" i="8"/>
  <c r="A47" i="8"/>
  <c r="A48" i="8"/>
  <c r="A49" i="8"/>
  <c r="A50" i="8"/>
  <c r="A44" i="8"/>
  <c r="A43" i="8"/>
  <c r="D38" i="8"/>
  <c r="D39" i="8"/>
  <c r="D40" i="8"/>
  <c r="D41" i="8"/>
  <c r="D42" i="8"/>
  <c r="D37" i="8"/>
  <c r="B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Q122" i="10"/>
  <c r="B4" i="8" l="1"/>
  <c r="B122" i="8" s="1"/>
  <c r="L50" i="10" l="1"/>
  <c r="K45" i="10"/>
  <c r="K46" i="10"/>
  <c r="K47" i="10"/>
  <c r="K48" i="10"/>
  <c r="K49" i="10"/>
  <c r="K50" i="10"/>
  <c r="K44" i="10"/>
  <c r="J49" i="10"/>
  <c r="I44" i="10"/>
  <c r="H44" i="10"/>
  <c r="E45" i="10"/>
  <c r="E46" i="10"/>
  <c r="E47" i="10"/>
  <c r="E48" i="10"/>
  <c r="E49" i="10"/>
  <c r="E50" i="10"/>
  <c r="E44" i="10"/>
  <c r="C45" i="10"/>
  <c r="H45" i="8" s="1"/>
  <c r="C46" i="10"/>
  <c r="H46" i="8" s="1"/>
  <c r="C47" i="10"/>
  <c r="H47" i="8" s="1"/>
  <c r="C48" i="10"/>
  <c r="H48" i="8" s="1"/>
  <c r="C49" i="10"/>
  <c r="H49" i="8" s="1"/>
  <c r="C50" i="10"/>
  <c r="H50" i="8" s="1"/>
  <c r="C44" i="10"/>
  <c r="H44" i="8" s="1"/>
  <c r="B45" i="10"/>
  <c r="C45" i="8" s="1"/>
  <c r="B46" i="10"/>
  <c r="C46" i="8" s="1"/>
  <c r="B47" i="10"/>
  <c r="C47" i="8" s="1"/>
  <c r="B48" i="10"/>
  <c r="C48" i="8" s="1"/>
  <c r="B49" i="10"/>
  <c r="C49" i="8" s="1"/>
  <c r="B50" i="10"/>
  <c r="C50" i="8" s="1"/>
  <c r="B44" i="10"/>
  <c r="C44" i="8" s="1"/>
  <c r="E41" i="10"/>
  <c r="E42" i="10"/>
  <c r="K38" i="10"/>
  <c r="K39" i="10"/>
  <c r="K40" i="10"/>
  <c r="K41" i="10"/>
  <c r="K42" i="10"/>
  <c r="K37" i="10"/>
  <c r="I37" i="10"/>
  <c r="H37" i="10"/>
  <c r="E38" i="10"/>
  <c r="E39" i="10"/>
  <c r="E40" i="10"/>
  <c r="E37" i="10"/>
  <c r="C38" i="10"/>
  <c r="H38" i="8" s="1"/>
  <c r="C39" i="10"/>
  <c r="H39" i="8" s="1"/>
  <c r="C40" i="10"/>
  <c r="H40" i="8" s="1"/>
  <c r="C41" i="10"/>
  <c r="H41" i="8" s="1"/>
  <c r="C42" i="10"/>
  <c r="H42" i="8" s="1"/>
  <c r="C37" i="10"/>
  <c r="H37" i="8" s="1"/>
  <c r="B38" i="10"/>
  <c r="C38" i="8" s="1"/>
  <c r="B39" i="10"/>
  <c r="C39" i="8" s="1"/>
  <c r="B40" i="10"/>
  <c r="C40" i="8" s="1"/>
  <c r="B41" i="10"/>
  <c r="C41" i="8" s="1"/>
  <c r="B42" i="10"/>
  <c r="C42" i="8" s="1"/>
  <c r="B37" i="10"/>
  <c r="C37" i="8" s="1"/>
  <c r="A45" i="10"/>
  <c r="A46" i="10"/>
  <c r="A47" i="10"/>
  <c r="A48" i="10"/>
  <c r="A49" i="10"/>
  <c r="A50" i="10"/>
  <c r="A44" i="10"/>
  <c r="A43" i="10"/>
  <c r="A36" i="10"/>
  <c r="A28" i="10"/>
  <c r="A26" i="10"/>
  <c r="A27" i="10"/>
  <c r="A25" i="10"/>
  <c r="A24" i="10"/>
  <c r="A19" i="10"/>
  <c r="A16" i="10"/>
  <c r="A17" i="10"/>
  <c r="A18" i="10"/>
  <c r="A15" i="10"/>
  <c r="A14" i="10"/>
  <c r="A8" i="10"/>
  <c r="A9" i="10"/>
  <c r="A10" i="10"/>
  <c r="A11" i="10"/>
  <c r="A12" i="10"/>
  <c r="A13" i="10"/>
  <c r="A7" i="10"/>
  <c r="A6" i="10"/>
  <c r="M50" i="10" l="1"/>
  <c r="D173" i="5" l="1"/>
  <c r="O172" i="5"/>
  <c r="R168" i="5"/>
  <c r="R169" i="5"/>
  <c r="R170" i="5"/>
  <c r="R171" i="5"/>
  <c r="R172" i="5"/>
  <c r="R173" i="5"/>
  <c r="R167" i="5"/>
  <c r="R161" i="5"/>
  <c r="R162" i="5"/>
  <c r="R163" i="5"/>
  <c r="R164" i="5"/>
  <c r="R165" i="5"/>
  <c r="R160" i="5"/>
  <c r="P168" i="5"/>
  <c r="P169" i="5"/>
  <c r="P170" i="5"/>
  <c r="P171" i="5"/>
  <c r="P172" i="5"/>
  <c r="P173" i="5"/>
  <c r="P167" i="5"/>
  <c r="P161" i="5"/>
  <c r="P162" i="5"/>
  <c r="P163" i="5"/>
  <c r="P164" i="5"/>
  <c r="P165" i="5"/>
  <c r="P160" i="5"/>
  <c r="O168" i="5"/>
  <c r="O169" i="5"/>
  <c r="O170" i="5"/>
  <c r="O171" i="5"/>
  <c r="O167" i="5"/>
  <c r="O161" i="5"/>
  <c r="O162" i="5"/>
  <c r="O163" i="5"/>
  <c r="O164" i="5"/>
  <c r="O165" i="5"/>
  <c r="O160" i="5"/>
  <c r="N167" i="5"/>
  <c r="N160" i="5"/>
  <c r="J167" i="5"/>
  <c r="I167" i="5" s="1"/>
  <c r="J160" i="5"/>
  <c r="I160" i="5" s="1"/>
  <c r="G167" i="5"/>
  <c r="G160" i="5"/>
  <c r="F160" i="5"/>
  <c r="F167" i="5"/>
  <c r="E169" i="5"/>
  <c r="L46" i="10" s="1"/>
  <c r="M46" i="10" s="1"/>
  <c r="E170" i="5"/>
  <c r="L47" i="10" s="1"/>
  <c r="M47" i="10" s="1"/>
  <c r="E171" i="5"/>
  <c r="L48" i="10" s="1"/>
  <c r="M48" i="10" s="1"/>
  <c r="E172" i="5"/>
  <c r="L49" i="10" s="1"/>
  <c r="M49" i="10" s="1"/>
  <c r="N49" i="10" s="1"/>
  <c r="E162" i="5"/>
  <c r="L39" i="10" s="1"/>
  <c r="M39" i="10" s="1"/>
  <c r="E163" i="5"/>
  <c r="L40" i="10" s="1"/>
  <c r="M40" i="10" s="1"/>
  <c r="E164" i="5"/>
  <c r="L41" i="10" s="1"/>
  <c r="M41" i="10" s="1"/>
  <c r="E165" i="5"/>
  <c r="L42" i="10" s="1"/>
  <c r="M42" i="10" s="1"/>
  <c r="V174" i="5"/>
  <c r="V193" i="5"/>
  <c r="V213" i="5"/>
  <c r="V230" i="5"/>
  <c r="A168" i="5"/>
  <c r="V168" i="5" s="1"/>
  <c r="A169" i="5"/>
  <c r="V169" i="5" s="1"/>
  <c r="A170" i="5"/>
  <c r="V170" i="5" s="1"/>
  <c r="A171" i="5"/>
  <c r="V171" i="5" s="1"/>
  <c r="A172" i="5"/>
  <c r="V172" i="5" s="1"/>
  <c r="A173" i="5"/>
  <c r="V173" i="5" s="1"/>
  <c r="A167" i="5"/>
  <c r="V167" i="5" s="1"/>
  <c r="A166" i="5"/>
  <c r="V166" i="5" s="1"/>
  <c r="A15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7" i="5"/>
  <c r="V148" i="5"/>
  <c r="V149" i="5"/>
  <c r="V150" i="5"/>
  <c r="V151" i="5"/>
  <c r="G130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3" i="5"/>
  <c r="S24" i="5"/>
  <c r="S25" i="5"/>
  <c r="S26" i="5"/>
  <c r="S27" i="5"/>
  <c r="S35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7" i="5"/>
  <c r="S58" i="5"/>
  <c r="S59" i="5"/>
  <c r="S60" i="5"/>
  <c r="S61" i="5"/>
  <c r="S64" i="5"/>
  <c r="S69" i="5"/>
  <c r="S72" i="5"/>
  <c r="S77" i="5"/>
  <c r="S78" i="5"/>
  <c r="S79" i="5"/>
  <c r="S80" i="5"/>
  <c r="S81" i="5"/>
  <c r="S82" i="5"/>
  <c r="S83" i="5"/>
  <c r="S84" i="5"/>
  <c r="S86" i="5"/>
  <c r="S89" i="5"/>
  <c r="S90" i="5"/>
  <c r="S91" i="5"/>
  <c r="S92" i="5"/>
  <c r="S95" i="5"/>
  <c r="S98" i="5"/>
  <c r="S101" i="5"/>
  <c r="S106" i="5"/>
  <c r="S111" i="5"/>
  <c r="S116" i="5"/>
  <c r="S5" i="5"/>
  <c r="V129" i="5"/>
  <c r="R34" i="5"/>
  <c r="B34" i="5"/>
  <c r="R131" i="5"/>
  <c r="R132" i="5"/>
  <c r="R133" i="5"/>
  <c r="R134" i="5"/>
  <c r="R135" i="5"/>
  <c r="R136" i="5"/>
  <c r="R138" i="5"/>
  <c r="R139" i="5"/>
  <c r="R140" i="5"/>
  <c r="R141" i="5"/>
  <c r="R143" i="5"/>
  <c r="R144" i="5"/>
  <c r="R145" i="5"/>
  <c r="R146" i="5"/>
  <c r="R148" i="5"/>
  <c r="R149" i="5"/>
  <c r="R150" i="5"/>
  <c r="R130" i="5"/>
  <c r="R127" i="5"/>
  <c r="P130" i="5"/>
  <c r="P131" i="5"/>
  <c r="P132" i="5"/>
  <c r="P133" i="5"/>
  <c r="P134" i="5"/>
  <c r="P135" i="5"/>
  <c r="P136" i="5"/>
  <c r="P138" i="5"/>
  <c r="P139" i="5"/>
  <c r="P140" i="5"/>
  <c r="P141" i="5"/>
  <c r="P143" i="5"/>
  <c r="P144" i="5"/>
  <c r="P145" i="5"/>
  <c r="P146" i="5"/>
  <c r="P148" i="5"/>
  <c r="P149" i="5"/>
  <c r="P150" i="5"/>
  <c r="P182" i="5"/>
  <c r="P183" i="5"/>
  <c r="P184" i="5"/>
  <c r="P185" i="5"/>
  <c r="P186" i="5"/>
  <c r="P187" i="5"/>
  <c r="P189" i="5"/>
  <c r="P190" i="5"/>
  <c r="P191" i="5"/>
  <c r="P192" i="5"/>
  <c r="P202" i="5"/>
  <c r="P203" i="5"/>
  <c r="P204" i="5"/>
  <c r="P205" i="5"/>
  <c r="P206" i="5"/>
  <c r="P207" i="5"/>
  <c r="P209" i="5"/>
  <c r="P210" i="5"/>
  <c r="P211" i="5"/>
  <c r="P212" i="5"/>
  <c r="P216" i="5"/>
  <c r="P220" i="5"/>
  <c r="P221" i="5"/>
  <c r="P222" i="5"/>
  <c r="P223" i="5"/>
  <c r="P224" i="5"/>
  <c r="P226" i="5"/>
  <c r="P227" i="5"/>
  <c r="P228" i="5"/>
  <c r="P229" i="5"/>
  <c r="P236" i="5"/>
  <c r="P237" i="5"/>
  <c r="P238" i="5"/>
  <c r="P239" i="5"/>
  <c r="P241" i="5"/>
  <c r="P242" i="5"/>
  <c r="P243" i="5"/>
  <c r="P244" i="5"/>
  <c r="P245" i="5"/>
  <c r="O49" i="10" l="1"/>
  <c r="B35" i="10"/>
  <c r="B158" i="5"/>
  <c r="Q172" i="5"/>
  <c r="S172" i="5" s="1"/>
  <c r="P48" i="5" s="1"/>
  <c r="V159" i="5"/>
  <c r="A36" i="8"/>
  <c r="C34" i="5"/>
  <c r="K35" i="10" s="1"/>
  <c r="U172" i="5" l="1"/>
  <c r="D49" i="10"/>
  <c r="F49" i="10" s="1"/>
  <c r="B49" i="8"/>
  <c r="G49" i="8" s="1"/>
  <c r="I49" i="8" s="1"/>
  <c r="E158" i="5"/>
  <c r="L35" i="10" s="1"/>
  <c r="G49" i="10" l="1"/>
  <c r="Q49" i="10" s="1"/>
  <c r="R49" i="10" s="1"/>
  <c r="P49" i="10"/>
  <c r="P122" i="10" l="1"/>
  <c r="R122" i="10"/>
  <c r="M108" i="5" l="1"/>
  <c r="M107" i="5"/>
  <c r="C108" i="10" s="1"/>
  <c r="M110" i="5"/>
  <c r="C111" i="10" s="1"/>
  <c r="M109" i="5"/>
  <c r="C110" i="10" s="1"/>
  <c r="A37" i="5"/>
  <c r="A38" i="10" s="1"/>
  <c r="I168" i="5"/>
  <c r="R37" i="5"/>
  <c r="E161" i="5" s="1"/>
  <c r="L38" i="10" s="1"/>
  <c r="A38" i="5"/>
  <c r="A39" i="10" s="1"/>
  <c r="L169" i="5"/>
  <c r="I169" i="5"/>
  <c r="A39" i="5"/>
  <c r="A40" i="10" s="1"/>
  <c r="L170" i="5"/>
  <c r="I170" i="5"/>
  <c r="A40" i="5"/>
  <c r="A41" i="10" s="1"/>
  <c r="I171" i="5"/>
  <c r="A41" i="5"/>
  <c r="A42" i="10" s="1"/>
  <c r="I173" i="5"/>
  <c r="I161" i="5"/>
  <c r="R44" i="5"/>
  <c r="E168" i="5" s="1"/>
  <c r="L45" i="10" s="1"/>
  <c r="I162" i="5"/>
  <c r="I163" i="5"/>
  <c r="L164" i="5"/>
  <c r="I164" i="5"/>
  <c r="I165" i="5"/>
  <c r="A29" i="5"/>
  <c r="A30" i="10" s="1"/>
  <c r="J153" i="5"/>
  <c r="I153" i="5" s="1"/>
  <c r="A30" i="5"/>
  <c r="J154" i="5"/>
  <c r="I154" i="5" s="1"/>
  <c r="A31" i="5"/>
  <c r="A32" i="10" s="1"/>
  <c r="J155" i="5"/>
  <c r="I155" i="5" s="1"/>
  <c r="A32" i="5"/>
  <c r="A33" i="10" s="1"/>
  <c r="J156" i="5"/>
  <c r="I156" i="5" s="1"/>
  <c r="A33" i="5"/>
  <c r="J157" i="5"/>
  <c r="I157" i="5" s="1"/>
  <c r="A34" i="5"/>
  <c r="J158" i="5"/>
  <c r="I158" i="5" s="1"/>
  <c r="H30" i="10"/>
  <c r="I30" i="10"/>
  <c r="H31" i="10"/>
  <c r="I31" i="10"/>
  <c r="H32" i="10"/>
  <c r="I32" i="10"/>
  <c r="H33" i="10"/>
  <c r="I33" i="10"/>
  <c r="H34" i="10"/>
  <c r="I34" i="10"/>
  <c r="H35" i="10"/>
  <c r="I35" i="10"/>
  <c r="H45" i="10"/>
  <c r="I45" i="10"/>
  <c r="H46" i="10"/>
  <c r="I46" i="10"/>
  <c r="H47" i="10"/>
  <c r="I47" i="10"/>
  <c r="H48" i="10"/>
  <c r="I48" i="10"/>
  <c r="H50" i="10"/>
  <c r="I50" i="10"/>
  <c r="B227" i="5"/>
  <c r="D227" i="5" s="1"/>
  <c r="J227" i="5"/>
  <c r="I227" i="5" s="1"/>
  <c r="K227" i="5"/>
  <c r="N227" i="5"/>
  <c r="R103" i="5"/>
  <c r="E227" i="5" s="1"/>
  <c r="L104" i="10" s="1"/>
  <c r="B228" i="5"/>
  <c r="D228" i="5" s="1"/>
  <c r="J228" i="5"/>
  <c r="I228" i="5" s="1"/>
  <c r="K228" i="5"/>
  <c r="N228" i="5"/>
  <c r="E228" i="5"/>
  <c r="L105" i="10" s="1"/>
  <c r="B229" i="5"/>
  <c r="D229" i="5" s="1"/>
  <c r="J229" i="5"/>
  <c r="I229" i="5" s="1"/>
  <c r="K229" i="5"/>
  <c r="N229" i="5"/>
  <c r="E229" i="5"/>
  <c r="L106" i="10" s="1"/>
  <c r="B226" i="5"/>
  <c r="D226" i="5" s="1"/>
  <c r="J226" i="5"/>
  <c r="I226" i="5" s="1"/>
  <c r="K226" i="5"/>
  <c r="N226" i="5"/>
  <c r="R102" i="5"/>
  <c r="E226" i="5" s="1"/>
  <c r="L103" i="10" s="1"/>
  <c r="B221" i="5"/>
  <c r="D221" i="5" s="1"/>
  <c r="J221" i="5"/>
  <c r="I221" i="5" s="1"/>
  <c r="K221" i="5"/>
  <c r="N221" i="5"/>
  <c r="R97" i="5"/>
  <c r="E221" i="5" s="1"/>
  <c r="L98" i="10" s="1"/>
  <c r="B222" i="5"/>
  <c r="D222" i="5"/>
  <c r="J222" i="5"/>
  <c r="I222" i="5" s="1"/>
  <c r="K222" i="5"/>
  <c r="N222" i="5"/>
  <c r="R98" i="5"/>
  <c r="B223" i="5"/>
  <c r="J223" i="5"/>
  <c r="I223" i="5" s="1"/>
  <c r="K223" i="5"/>
  <c r="N223" i="5"/>
  <c r="E223" i="5"/>
  <c r="L100" i="10" s="1"/>
  <c r="B224" i="5"/>
  <c r="J224" i="5"/>
  <c r="I224" i="5" s="1"/>
  <c r="K224" i="5"/>
  <c r="N224" i="5"/>
  <c r="E224" i="5"/>
  <c r="L101" i="10" s="1"/>
  <c r="B220" i="5"/>
  <c r="J220" i="5"/>
  <c r="I220" i="5" s="1"/>
  <c r="K220" i="5"/>
  <c r="R96" i="5"/>
  <c r="E220" i="5" s="1"/>
  <c r="L97" i="10" s="1"/>
  <c r="N215" i="5"/>
  <c r="B92" i="5"/>
  <c r="D92" i="5"/>
  <c r="D216" i="5" s="1"/>
  <c r="J216" i="5"/>
  <c r="I216" i="5" s="1"/>
  <c r="K216" i="5"/>
  <c r="N216" i="5"/>
  <c r="N217" i="5"/>
  <c r="N218" i="5"/>
  <c r="B210" i="5"/>
  <c r="J210" i="5"/>
  <c r="I210" i="5" s="1"/>
  <c r="K210" i="5"/>
  <c r="N210" i="5"/>
  <c r="R86" i="5"/>
  <c r="E210" i="5" s="1"/>
  <c r="L87" i="10" s="1"/>
  <c r="B211" i="5"/>
  <c r="J211" i="5"/>
  <c r="I211" i="5" s="1"/>
  <c r="K211" i="5"/>
  <c r="N211" i="5"/>
  <c r="E211" i="5"/>
  <c r="L88" i="10" s="1"/>
  <c r="B212" i="5"/>
  <c r="D212" i="5" s="1"/>
  <c r="J212" i="5"/>
  <c r="I212" i="5" s="1"/>
  <c r="K212" i="5"/>
  <c r="N212" i="5"/>
  <c r="E212" i="5"/>
  <c r="L89" i="10" s="1"/>
  <c r="B209" i="5"/>
  <c r="J209" i="5"/>
  <c r="I209" i="5" s="1"/>
  <c r="K209" i="5"/>
  <c r="N209" i="5"/>
  <c r="R85" i="5"/>
  <c r="E209" i="5" s="1"/>
  <c r="L86" i="10" s="1"/>
  <c r="B203" i="5"/>
  <c r="D203" i="5" s="1"/>
  <c r="J203" i="5"/>
  <c r="I203" i="5" s="1"/>
  <c r="K203" i="5"/>
  <c r="N203" i="5"/>
  <c r="R79" i="5"/>
  <c r="E203" i="5" s="1"/>
  <c r="L80" i="10" s="1"/>
  <c r="B204" i="5"/>
  <c r="D204" i="5"/>
  <c r="J204" i="5"/>
  <c r="I204" i="5" s="1"/>
  <c r="K204" i="5"/>
  <c r="N204" i="5"/>
  <c r="R80" i="5"/>
  <c r="E204" i="5" s="1"/>
  <c r="L81" i="10" s="1"/>
  <c r="B205" i="5"/>
  <c r="D205" i="5" s="1"/>
  <c r="J205" i="5"/>
  <c r="I205" i="5" s="1"/>
  <c r="K205" i="5"/>
  <c r="N205" i="5"/>
  <c r="R81" i="5"/>
  <c r="E205" i="5" s="1"/>
  <c r="L82" i="10" s="1"/>
  <c r="B206" i="5"/>
  <c r="D206" i="5" s="1"/>
  <c r="J206" i="5"/>
  <c r="I206" i="5" s="1"/>
  <c r="K206" i="5"/>
  <c r="N206" i="5"/>
  <c r="E206" i="5"/>
  <c r="L83" i="10" s="1"/>
  <c r="B207" i="5"/>
  <c r="J207" i="5"/>
  <c r="I207" i="5" s="1"/>
  <c r="K207" i="5"/>
  <c r="N207" i="5"/>
  <c r="E207" i="5"/>
  <c r="L84" i="10" s="1"/>
  <c r="B202" i="5"/>
  <c r="D202" i="5" s="1"/>
  <c r="J202" i="5"/>
  <c r="I202" i="5" s="1"/>
  <c r="K202" i="5"/>
  <c r="N202" i="5"/>
  <c r="R78" i="5"/>
  <c r="B71" i="5"/>
  <c r="R71" i="5" s="1"/>
  <c r="J195" i="5"/>
  <c r="F71" i="5"/>
  <c r="F195" i="5" s="1"/>
  <c r="K195" i="5"/>
  <c r="I71" i="5"/>
  <c r="N195" i="5" s="1"/>
  <c r="J71" i="5"/>
  <c r="R72" i="5"/>
  <c r="J196" i="5"/>
  <c r="I196" i="5" s="1"/>
  <c r="K196" i="5"/>
  <c r="N196" i="5"/>
  <c r="J72" i="5"/>
  <c r="B73" i="5"/>
  <c r="R73" i="5" s="1"/>
  <c r="D197" i="5"/>
  <c r="J197" i="5"/>
  <c r="I197" i="5" s="1"/>
  <c r="H73" i="5"/>
  <c r="K197" i="5" s="1"/>
  <c r="N197" i="5"/>
  <c r="J73" i="5"/>
  <c r="O197" i="5" s="1"/>
  <c r="B74" i="5"/>
  <c r="R74" i="5" s="1"/>
  <c r="E198" i="5" s="1"/>
  <c r="L75" i="10" s="1"/>
  <c r="J198" i="5"/>
  <c r="I198" i="5" s="1"/>
  <c r="K198" i="5"/>
  <c r="N198" i="5"/>
  <c r="J74" i="5"/>
  <c r="J199" i="5"/>
  <c r="I199" i="5" s="1"/>
  <c r="K199" i="5"/>
  <c r="N199" i="5"/>
  <c r="J200" i="5"/>
  <c r="I200" i="5" s="1"/>
  <c r="K200" i="5"/>
  <c r="N200" i="5"/>
  <c r="K194" i="5"/>
  <c r="B190" i="5"/>
  <c r="D190" i="5"/>
  <c r="J190" i="5"/>
  <c r="I190" i="5" s="1"/>
  <c r="K190" i="5"/>
  <c r="N190" i="5"/>
  <c r="O190" i="5"/>
  <c r="R66" i="5"/>
  <c r="E190" i="5" s="1"/>
  <c r="L67" i="10" s="1"/>
  <c r="B191" i="5"/>
  <c r="D191" i="5"/>
  <c r="J191" i="5"/>
  <c r="I191" i="5" s="1"/>
  <c r="K191" i="5"/>
  <c r="N191" i="5"/>
  <c r="O191" i="5"/>
  <c r="E191" i="5"/>
  <c r="L68" i="10" s="1"/>
  <c r="B192" i="5"/>
  <c r="D192" i="5"/>
  <c r="J192" i="5"/>
  <c r="I192" i="5" s="1"/>
  <c r="K192" i="5"/>
  <c r="N192" i="5"/>
  <c r="O192" i="5"/>
  <c r="E192" i="5"/>
  <c r="L69" i="10" s="1"/>
  <c r="B189" i="5"/>
  <c r="D189" i="5"/>
  <c r="J189" i="5"/>
  <c r="I189" i="5" s="1"/>
  <c r="K189" i="5"/>
  <c r="N189" i="5"/>
  <c r="O189" i="5"/>
  <c r="R65" i="5"/>
  <c r="E189" i="5" s="1"/>
  <c r="L66" i="10" s="1"/>
  <c r="B183" i="5"/>
  <c r="D183" i="5" s="1"/>
  <c r="J183" i="5"/>
  <c r="I183" i="5" s="1"/>
  <c r="K183" i="5"/>
  <c r="N183" i="5"/>
  <c r="O183" i="5"/>
  <c r="R59" i="5"/>
  <c r="E183" i="5" s="1"/>
  <c r="L60" i="10" s="1"/>
  <c r="B184" i="5"/>
  <c r="D184" i="5"/>
  <c r="J184" i="5"/>
  <c r="I184" i="5" s="1"/>
  <c r="K184" i="5"/>
  <c r="N184" i="5"/>
  <c r="O184" i="5"/>
  <c r="R60" i="5"/>
  <c r="E184" i="5" s="1"/>
  <c r="L61" i="10" s="1"/>
  <c r="B185" i="5"/>
  <c r="D185" i="5" s="1"/>
  <c r="J185" i="5"/>
  <c r="I185" i="5" s="1"/>
  <c r="K185" i="5"/>
  <c r="N185" i="5"/>
  <c r="O185" i="5"/>
  <c r="R61" i="5"/>
  <c r="E185" i="5" s="1"/>
  <c r="L62" i="10" s="1"/>
  <c r="B186" i="5"/>
  <c r="J186" i="5"/>
  <c r="I186" i="5" s="1"/>
  <c r="K186" i="5"/>
  <c r="N186" i="5"/>
  <c r="O186" i="5"/>
  <c r="E186" i="5"/>
  <c r="L63" i="10" s="1"/>
  <c r="B187" i="5"/>
  <c r="J187" i="5"/>
  <c r="I187" i="5" s="1"/>
  <c r="K187" i="5"/>
  <c r="N187" i="5"/>
  <c r="O187" i="5"/>
  <c r="E187" i="5"/>
  <c r="L64" i="10" s="1"/>
  <c r="B182" i="5"/>
  <c r="D182" i="5"/>
  <c r="J182" i="5"/>
  <c r="I182" i="5" s="1"/>
  <c r="K182" i="5"/>
  <c r="N182" i="5"/>
  <c r="O182" i="5"/>
  <c r="R58" i="5"/>
  <c r="E182" i="5" s="1"/>
  <c r="L59" i="10" s="1"/>
  <c r="B52" i="5"/>
  <c r="E52" i="5"/>
  <c r="F52" i="5"/>
  <c r="F176" i="5" s="1"/>
  <c r="K176" i="5"/>
  <c r="I52" i="5"/>
  <c r="N176" i="5" s="1"/>
  <c r="J52" i="5"/>
  <c r="P176" i="5" s="1"/>
  <c r="M60" i="5"/>
  <c r="D177" i="5"/>
  <c r="J177" i="5"/>
  <c r="I177" i="5" s="1"/>
  <c r="K177" i="5"/>
  <c r="N177" i="5"/>
  <c r="B54" i="5"/>
  <c r="B178" i="5" s="1"/>
  <c r="D178" i="5" s="1"/>
  <c r="J178" i="5"/>
  <c r="I178" i="5" s="1"/>
  <c r="K178" i="5"/>
  <c r="N178" i="5"/>
  <c r="J54" i="5"/>
  <c r="J179" i="5"/>
  <c r="I179" i="5" s="1"/>
  <c r="K179" i="5"/>
  <c r="N179" i="5"/>
  <c r="J180" i="5"/>
  <c r="I180" i="5" s="1"/>
  <c r="K180" i="5"/>
  <c r="N180" i="5"/>
  <c r="D175" i="5"/>
  <c r="K175" i="5"/>
  <c r="A28" i="5"/>
  <c r="S28" i="5" s="1"/>
  <c r="R36" i="5"/>
  <c r="E160" i="5" s="1"/>
  <c r="L37" i="10" s="1"/>
  <c r="R43" i="5"/>
  <c r="E167" i="5" s="1"/>
  <c r="L44" i="10" s="1"/>
  <c r="L160" i="5"/>
  <c r="H38" i="10"/>
  <c r="I38" i="10"/>
  <c r="H39" i="10"/>
  <c r="I39" i="10"/>
  <c r="H40" i="10"/>
  <c r="I40" i="10"/>
  <c r="H41" i="10"/>
  <c r="I41" i="10"/>
  <c r="H42" i="10"/>
  <c r="I42" i="10"/>
  <c r="A107" i="8"/>
  <c r="A90" i="8"/>
  <c r="D101" i="8"/>
  <c r="B131" i="5"/>
  <c r="L131" i="5" s="1"/>
  <c r="I131" i="5"/>
  <c r="R7" i="5"/>
  <c r="E131" i="5" s="1"/>
  <c r="L8" i="10" s="1"/>
  <c r="O131" i="5"/>
  <c r="D8" i="8"/>
  <c r="H8" i="8"/>
  <c r="B8" i="10"/>
  <c r="C8" i="8" s="1"/>
  <c r="B132" i="5"/>
  <c r="I132" i="5"/>
  <c r="E132" i="5"/>
  <c r="L9" i="10" s="1"/>
  <c r="O132" i="5"/>
  <c r="D9" i="8"/>
  <c r="H9" i="8"/>
  <c r="B9" i="10"/>
  <c r="C9" i="8" s="1"/>
  <c r="B133" i="5"/>
  <c r="D133" i="5" s="1"/>
  <c r="I133" i="5"/>
  <c r="E133" i="5"/>
  <c r="L10" i="10" s="1"/>
  <c r="O133" i="5"/>
  <c r="D10" i="8"/>
  <c r="H10" i="8"/>
  <c r="B10" i="10"/>
  <c r="C10" i="8" s="1"/>
  <c r="B134" i="5"/>
  <c r="L134" i="5" s="1"/>
  <c r="I134" i="5"/>
  <c r="E134" i="5"/>
  <c r="L11" i="10" s="1"/>
  <c r="O134" i="5"/>
  <c r="D11" i="8"/>
  <c r="H11" i="8"/>
  <c r="B11" i="10"/>
  <c r="C11" i="8" s="1"/>
  <c r="B135" i="5"/>
  <c r="D135" i="5" s="1"/>
  <c r="I135" i="5"/>
  <c r="E135" i="5"/>
  <c r="L12" i="10" s="1"/>
  <c r="O135" i="5"/>
  <c r="D12" i="8"/>
  <c r="H12" i="8"/>
  <c r="B12" i="10"/>
  <c r="C12" i="8" s="1"/>
  <c r="B136" i="5"/>
  <c r="L136" i="5" s="1"/>
  <c r="D136" i="5"/>
  <c r="I136" i="5"/>
  <c r="E136" i="5"/>
  <c r="L13" i="10" s="1"/>
  <c r="O136" i="5"/>
  <c r="D13" i="8"/>
  <c r="H13" i="8"/>
  <c r="B13" i="10"/>
  <c r="C13" i="8" s="1"/>
  <c r="I138" i="5"/>
  <c r="B138" i="5"/>
  <c r="D138" i="5" s="1"/>
  <c r="O138" i="5"/>
  <c r="R14" i="5"/>
  <c r="E138" i="5" s="1"/>
  <c r="D15" i="8"/>
  <c r="H15" i="8"/>
  <c r="B15" i="10"/>
  <c r="C15" i="8" s="1"/>
  <c r="I139" i="5"/>
  <c r="B139" i="5"/>
  <c r="L139" i="5" s="1"/>
  <c r="O139" i="5"/>
  <c r="E139" i="5"/>
  <c r="L16" i="10" s="1"/>
  <c r="D16" i="8"/>
  <c r="H16" i="8"/>
  <c r="B16" i="10"/>
  <c r="C16" i="8" s="1"/>
  <c r="I140" i="5"/>
  <c r="B140" i="5"/>
  <c r="L140" i="5" s="1"/>
  <c r="D140" i="5"/>
  <c r="O140" i="5"/>
  <c r="E140" i="5"/>
  <c r="L17" i="10" s="1"/>
  <c r="D17" i="8"/>
  <c r="H17" i="8"/>
  <c r="B17" i="10"/>
  <c r="C17" i="8" s="1"/>
  <c r="I141" i="5"/>
  <c r="B141" i="5"/>
  <c r="O141" i="5"/>
  <c r="E141" i="5"/>
  <c r="L18" i="10" s="1"/>
  <c r="D18" i="8"/>
  <c r="H18" i="8"/>
  <c r="B18" i="10"/>
  <c r="C18" i="8" s="1"/>
  <c r="J143" i="5"/>
  <c r="I143" i="5" s="1"/>
  <c r="N143" i="5"/>
  <c r="B143" i="5"/>
  <c r="D143" i="5" s="1"/>
  <c r="O143" i="5"/>
  <c r="R19" i="5"/>
  <c r="E143" i="5" s="1"/>
  <c r="L20" i="10" s="1"/>
  <c r="D20" i="8"/>
  <c r="H20" i="8"/>
  <c r="B20" i="10"/>
  <c r="C20" i="8" s="1"/>
  <c r="I144" i="5"/>
  <c r="B144" i="5"/>
  <c r="L144" i="5" s="1"/>
  <c r="O144" i="5"/>
  <c r="R20" i="5"/>
  <c r="E144" i="5" s="1"/>
  <c r="L21" i="10" s="1"/>
  <c r="D21" i="8"/>
  <c r="H21" i="8"/>
  <c r="B21" i="10"/>
  <c r="C21" i="8" s="1"/>
  <c r="I145" i="5"/>
  <c r="B145" i="5"/>
  <c r="O145" i="5"/>
  <c r="E145" i="5"/>
  <c r="L22" i="10" s="1"/>
  <c r="D22" i="8"/>
  <c r="H22" i="8"/>
  <c r="B22" i="10"/>
  <c r="C22" i="8" s="1"/>
  <c r="I146" i="5"/>
  <c r="B146" i="5"/>
  <c r="L146" i="5" s="1"/>
  <c r="O146" i="5"/>
  <c r="E146" i="5"/>
  <c r="L23" i="10" s="1"/>
  <c r="D23" i="8"/>
  <c r="H23" i="8"/>
  <c r="B23" i="10"/>
  <c r="C23" i="8" s="1"/>
  <c r="J148" i="5"/>
  <c r="I148" i="5" s="1"/>
  <c r="N148" i="5"/>
  <c r="B148" i="5"/>
  <c r="L148" i="5" s="1"/>
  <c r="O148" i="5"/>
  <c r="E148" i="5"/>
  <c r="D25" i="8"/>
  <c r="H25" i="8"/>
  <c r="B25" i="10"/>
  <c r="C25" i="8" s="1"/>
  <c r="I149" i="5"/>
  <c r="B149" i="5"/>
  <c r="O149" i="5"/>
  <c r="E149" i="5"/>
  <c r="D26" i="8"/>
  <c r="H26" i="8"/>
  <c r="B26" i="10"/>
  <c r="C26" i="8" s="1"/>
  <c r="I150" i="5"/>
  <c r="B150" i="5"/>
  <c r="L150" i="5" s="1"/>
  <c r="O150" i="5"/>
  <c r="E150" i="5"/>
  <c r="L27" i="10" s="1"/>
  <c r="D27" i="8"/>
  <c r="H27" i="8"/>
  <c r="B27" i="10"/>
  <c r="C27" i="8" s="1"/>
  <c r="H60" i="8"/>
  <c r="M61" i="5"/>
  <c r="D59" i="8"/>
  <c r="B59" i="10"/>
  <c r="C59" i="8" s="1"/>
  <c r="D60" i="8"/>
  <c r="B60" i="10"/>
  <c r="C60" i="8" s="1"/>
  <c r="D61" i="8"/>
  <c r="B61" i="10"/>
  <c r="C61" i="8" s="1"/>
  <c r="D62" i="8"/>
  <c r="B62" i="10"/>
  <c r="C62" i="8" s="1"/>
  <c r="D63" i="8"/>
  <c r="H63" i="8"/>
  <c r="B63" i="10"/>
  <c r="C63" i="8" s="1"/>
  <c r="D64" i="8"/>
  <c r="H64" i="8"/>
  <c r="B64" i="10"/>
  <c r="C64" i="8" s="1"/>
  <c r="D66" i="8"/>
  <c r="H66" i="8"/>
  <c r="B66" i="10"/>
  <c r="C66" i="8" s="1"/>
  <c r="D67" i="8"/>
  <c r="H67" i="8"/>
  <c r="B67" i="10"/>
  <c r="C67" i="8" s="1"/>
  <c r="D68" i="8"/>
  <c r="H68" i="8"/>
  <c r="B68" i="10"/>
  <c r="C68" i="8" s="1"/>
  <c r="D69" i="8"/>
  <c r="H69" i="8"/>
  <c r="B69" i="10"/>
  <c r="C69" i="8" s="1"/>
  <c r="M71" i="5"/>
  <c r="H72" i="8" s="1"/>
  <c r="M73" i="5"/>
  <c r="D79" i="8"/>
  <c r="H79" i="8"/>
  <c r="B79" i="10"/>
  <c r="C79" i="8" s="1"/>
  <c r="D80" i="8"/>
  <c r="H80" i="8"/>
  <c r="B80" i="10"/>
  <c r="C80" i="8" s="1"/>
  <c r="D81" i="8"/>
  <c r="H81" i="8"/>
  <c r="B81" i="10"/>
  <c r="C81" i="8" s="1"/>
  <c r="D82" i="8"/>
  <c r="H82" i="8"/>
  <c r="B82" i="10"/>
  <c r="C82" i="8" s="1"/>
  <c r="D83" i="8"/>
  <c r="H83" i="8"/>
  <c r="B83" i="10"/>
  <c r="C83" i="8" s="1"/>
  <c r="D84" i="8"/>
  <c r="H84" i="8"/>
  <c r="B84" i="10"/>
  <c r="C84" i="8" s="1"/>
  <c r="D86" i="8"/>
  <c r="H86" i="8"/>
  <c r="B86" i="10"/>
  <c r="C86" i="8" s="1"/>
  <c r="D87" i="8"/>
  <c r="H87" i="8"/>
  <c r="B87" i="10"/>
  <c r="C87" i="8" s="1"/>
  <c r="D88" i="8"/>
  <c r="H88" i="8"/>
  <c r="B88" i="10"/>
  <c r="C88" i="8" s="1"/>
  <c r="D89" i="8"/>
  <c r="H89" i="8"/>
  <c r="B89" i="10"/>
  <c r="C89" i="8" s="1"/>
  <c r="D93" i="8"/>
  <c r="M92" i="5"/>
  <c r="D97" i="8"/>
  <c r="H97" i="8"/>
  <c r="B97" i="10"/>
  <c r="C97" i="8" s="1"/>
  <c r="D98" i="8"/>
  <c r="H98" i="8"/>
  <c r="B98" i="10"/>
  <c r="C98" i="8" s="1"/>
  <c r="D99" i="8"/>
  <c r="H99" i="8"/>
  <c r="B99" i="10"/>
  <c r="C99" i="8" s="1"/>
  <c r="D100" i="8"/>
  <c r="H100" i="8"/>
  <c r="B100" i="10"/>
  <c r="C100" i="8" s="1"/>
  <c r="H101" i="8"/>
  <c r="B101" i="10"/>
  <c r="C101" i="8" s="1"/>
  <c r="D103" i="8"/>
  <c r="H103" i="8"/>
  <c r="B103" i="10"/>
  <c r="C103" i="8" s="1"/>
  <c r="D104" i="8"/>
  <c r="H104" i="8"/>
  <c r="B104" i="10"/>
  <c r="C104" i="8" s="1"/>
  <c r="D105" i="8"/>
  <c r="H105" i="8"/>
  <c r="B105" i="10"/>
  <c r="C105" i="8" s="1"/>
  <c r="D106" i="8"/>
  <c r="H106" i="8"/>
  <c r="B106" i="10"/>
  <c r="C106" i="8" s="1"/>
  <c r="K231" i="5"/>
  <c r="C107" i="5"/>
  <c r="K108" i="10" s="1"/>
  <c r="E108" i="5"/>
  <c r="N232" i="5"/>
  <c r="C108" i="5"/>
  <c r="K109" i="10" s="1"/>
  <c r="E109" i="5"/>
  <c r="K233" i="5"/>
  <c r="N233" i="5"/>
  <c r="E110" i="5"/>
  <c r="K234" i="5"/>
  <c r="N234" i="5"/>
  <c r="B236" i="5"/>
  <c r="D236" i="5" s="1"/>
  <c r="J236" i="5"/>
  <c r="I236" i="5" s="1"/>
  <c r="K236" i="5"/>
  <c r="N236" i="5"/>
  <c r="R112" i="5"/>
  <c r="E236" i="5" s="1"/>
  <c r="L113" i="10" s="1"/>
  <c r="D113" i="8"/>
  <c r="H113" i="8"/>
  <c r="B113" i="10"/>
  <c r="C113" i="8" s="1"/>
  <c r="B237" i="5"/>
  <c r="J237" i="5"/>
  <c r="I237" i="5" s="1"/>
  <c r="K237" i="5"/>
  <c r="N237" i="5"/>
  <c r="R113" i="5"/>
  <c r="E237" i="5" s="1"/>
  <c r="L114" i="10" s="1"/>
  <c r="D114" i="8"/>
  <c r="H114" i="8"/>
  <c r="B114" i="10"/>
  <c r="C114" i="8" s="1"/>
  <c r="B238" i="5"/>
  <c r="D238" i="5" s="1"/>
  <c r="J238" i="5"/>
  <c r="I238" i="5" s="1"/>
  <c r="K238" i="5"/>
  <c r="N238" i="5"/>
  <c r="E238" i="5"/>
  <c r="L115" i="10" s="1"/>
  <c r="D115" i="8"/>
  <c r="H115" i="8"/>
  <c r="B115" i="10"/>
  <c r="C115" i="8" s="1"/>
  <c r="B239" i="5"/>
  <c r="J239" i="5"/>
  <c r="I239" i="5" s="1"/>
  <c r="K239" i="5"/>
  <c r="N239" i="5"/>
  <c r="E239" i="5"/>
  <c r="L116" i="10" s="1"/>
  <c r="M116" i="10" s="1"/>
  <c r="D116" i="8"/>
  <c r="H116" i="8"/>
  <c r="B116" i="10"/>
  <c r="C116" i="8" s="1"/>
  <c r="B241" i="5"/>
  <c r="D241" i="5" s="1"/>
  <c r="J241" i="5"/>
  <c r="I241" i="5" s="1"/>
  <c r="K241" i="5"/>
  <c r="N241" i="5"/>
  <c r="R117" i="5"/>
  <c r="E241" i="5" s="1"/>
  <c r="L118" i="10" s="1"/>
  <c r="D118" i="8"/>
  <c r="H118" i="8"/>
  <c r="B118" i="10"/>
  <c r="C118" i="8" s="1"/>
  <c r="B242" i="5"/>
  <c r="D242" i="5" s="1"/>
  <c r="J242" i="5"/>
  <c r="I242" i="5" s="1"/>
  <c r="K242" i="5"/>
  <c r="N242" i="5"/>
  <c r="R118" i="5"/>
  <c r="E242" i="5" s="1"/>
  <c r="L119" i="10" s="1"/>
  <c r="D119" i="8"/>
  <c r="H119" i="8"/>
  <c r="B119" i="10"/>
  <c r="C119" i="8" s="1"/>
  <c r="B243" i="5"/>
  <c r="D243" i="5" s="1"/>
  <c r="J243" i="5"/>
  <c r="I243" i="5" s="1"/>
  <c r="K243" i="5"/>
  <c r="N243" i="5"/>
  <c r="E243" i="5"/>
  <c r="L120" i="10" s="1"/>
  <c r="D120" i="8"/>
  <c r="H120" i="8"/>
  <c r="B120" i="10"/>
  <c r="C120" i="8" s="1"/>
  <c r="B244" i="5"/>
  <c r="J244" i="5"/>
  <c r="I244" i="5" s="1"/>
  <c r="K244" i="5"/>
  <c r="N244" i="5"/>
  <c r="E244" i="5"/>
  <c r="L121" i="10" s="1"/>
  <c r="D121" i="8"/>
  <c r="H121" i="8"/>
  <c r="B121" i="10"/>
  <c r="C121" i="8" s="1"/>
  <c r="B130" i="5"/>
  <c r="D130" i="5" s="1"/>
  <c r="N130" i="5"/>
  <c r="R6" i="5"/>
  <c r="E130" i="5" s="1"/>
  <c r="L7" i="10" s="1"/>
  <c r="J130" i="5"/>
  <c r="I130" i="5" s="1"/>
  <c r="O130" i="5"/>
  <c r="B7" i="10"/>
  <c r="C7" i="8" s="1"/>
  <c r="A21" i="5"/>
  <c r="A145" i="5" s="1"/>
  <c r="A22" i="5"/>
  <c r="A51" i="8"/>
  <c r="A52" i="8"/>
  <c r="A53" i="8"/>
  <c r="A54" i="8"/>
  <c r="A55" i="8"/>
  <c r="A87" i="5"/>
  <c r="A88" i="5"/>
  <c r="A58" i="8"/>
  <c r="A59" i="8"/>
  <c r="A60" i="8"/>
  <c r="A61" i="8"/>
  <c r="A62" i="8"/>
  <c r="A65" i="8"/>
  <c r="A85" i="5"/>
  <c r="A66" i="5"/>
  <c r="S66" i="5" s="1"/>
  <c r="A70" i="8"/>
  <c r="A70" i="5"/>
  <c r="S70" i="5" s="1"/>
  <c r="A71" i="5"/>
  <c r="A73" i="8"/>
  <c r="A73" i="5"/>
  <c r="S73" i="5" s="1"/>
  <c r="A74" i="5"/>
  <c r="A78" i="8"/>
  <c r="A79" i="8"/>
  <c r="A80" i="8"/>
  <c r="A81" i="8"/>
  <c r="A82" i="8"/>
  <c r="A83" i="8"/>
  <c r="A84" i="8"/>
  <c r="A85" i="8"/>
  <c r="A87" i="8"/>
  <c r="A91" i="8"/>
  <c r="A92" i="8"/>
  <c r="A93" i="8"/>
  <c r="A96" i="8"/>
  <c r="A96" i="5"/>
  <c r="A97" i="5"/>
  <c r="A99" i="8"/>
  <c r="A102" i="8"/>
  <c r="A112" i="8"/>
  <c r="A117" i="8"/>
  <c r="C7" i="10"/>
  <c r="C8" i="10"/>
  <c r="C9" i="10"/>
  <c r="C10" i="10"/>
  <c r="C11" i="10"/>
  <c r="C12" i="10"/>
  <c r="C13" i="10"/>
  <c r="C15" i="10"/>
  <c r="C16" i="10"/>
  <c r="C17" i="10"/>
  <c r="C18" i="10"/>
  <c r="C20" i="10"/>
  <c r="C21" i="10"/>
  <c r="C22" i="10"/>
  <c r="C23" i="10"/>
  <c r="C25" i="10"/>
  <c r="C26" i="10"/>
  <c r="C27" i="10"/>
  <c r="C63" i="10"/>
  <c r="C64" i="10"/>
  <c r="C66" i="10"/>
  <c r="C67" i="10"/>
  <c r="C68" i="10"/>
  <c r="C69" i="10"/>
  <c r="C79" i="10"/>
  <c r="C80" i="10"/>
  <c r="C81" i="10"/>
  <c r="C82" i="10"/>
  <c r="C83" i="10"/>
  <c r="C84" i="10"/>
  <c r="C86" i="10"/>
  <c r="C87" i="10"/>
  <c r="C88" i="10"/>
  <c r="C89" i="10"/>
  <c r="C97" i="10"/>
  <c r="C98" i="10"/>
  <c r="C99" i="10"/>
  <c r="C100" i="10"/>
  <c r="C101" i="10"/>
  <c r="C103" i="10"/>
  <c r="C104" i="10"/>
  <c r="C105" i="10"/>
  <c r="C106" i="10"/>
  <c r="C113" i="10"/>
  <c r="C114" i="10"/>
  <c r="C115" i="10"/>
  <c r="C116" i="10"/>
  <c r="C118" i="10"/>
  <c r="C119" i="10"/>
  <c r="C120" i="10"/>
  <c r="C121" i="10"/>
  <c r="C4" i="10"/>
  <c r="E8" i="10"/>
  <c r="H8" i="10"/>
  <c r="I8" i="10"/>
  <c r="E9" i="10"/>
  <c r="H9" i="10"/>
  <c r="I9" i="10"/>
  <c r="K9" i="10"/>
  <c r="E10" i="10"/>
  <c r="H10" i="10"/>
  <c r="I10" i="10"/>
  <c r="K10" i="10"/>
  <c r="E11" i="10"/>
  <c r="H11" i="10"/>
  <c r="I11" i="10"/>
  <c r="K11" i="10"/>
  <c r="E12" i="10"/>
  <c r="H12" i="10"/>
  <c r="I12" i="10"/>
  <c r="K12" i="10"/>
  <c r="E13" i="10"/>
  <c r="H13" i="10"/>
  <c r="I13" i="10"/>
  <c r="K13" i="10"/>
  <c r="M13" i="10" s="1"/>
  <c r="E15" i="10"/>
  <c r="H15" i="10"/>
  <c r="I15" i="10"/>
  <c r="E16" i="10"/>
  <c r="H16" i="10"/>
  <c r="I16" i="10"/>
  <c r="K16" i="10"/>
  <c r="M16" i="10" s="1"/>
  <c r="E17" i="10"/>
  <c r="H17" i="10"/>
  <c r="I17" i="10"/>
  <c r="K17" i="10"/>
  <c r="E18" i="10"/>
  <c r="H18" i="10"/>
  <c r="I18" i="10"/>
  <c r="K18" i="10"/>
  <c r="E20" i="10"/>
  <c r="H20" i="10"/>
  <c r="I20" i="10"/>
  <c r="E21" i="10"/>
  <c r="H21" i="10"/>
  <c r="I21" i="10"/>
  <c r="E22" i="10"/>
  <c r="H22" i="10"/>
  <c r="I22" i="10"/>
  <c r="K22" i="10"/>
  <c r="E23" i="10"/>
  <c r="H23" i="10"/>
  <c r="I23" i="10"/>
  <c r="K23" i="10"/>
  <c r="E25" i="10"/>
  <c r="H25" i="10"/>
  <c r="I25" i="10"/>
  <c r="E26" i="10"/>
  <c r="H26" i="10"/>
  <c r="I26" i="10"/>
  <c r="E27" i="10"/>
  <c r="H27" i="10"/>
  <c r="I27" i="10"/>
  <c r="K27" i="10"/>
  <c r="I29" i="10"/>
  <c r="K52" i="5"/>
  <c r="E53" i="10" s="1"/>
  <c r="G52" i="5"/>
  <c r="I53" i="10" s="1"/>
  <c r="H54" i="10"/>
  <c r="I54" i="10"/>
  <c r="K54" i="5"/>
  <c r="E55" i="10" s="1"/>
  <c r="H55" i="10"/>
  <c r="I55" i="10"/>
  <c r="H56" i="10"/>
  <c r="I56" i="10"/>
  <c r="H57" i="10"/>
  <c r="I57" i="10"/>
  <c r="E59" i="10"/>
  <c r="H59" i="10"/>
  <c r="I59" i="10"/>
  <c r="E63" i="10"/>
  <c r="H63" i="10"/>
  <c r="I63" i="10"/>
  <c r="K63" i="10"/>
  <c r="E64" i="10"/>
  <c r="H64" i="10"/>
  <c r="I64" i="10"/>
  <c r="K64" i="10"/>
  <c r="E68" i="10"/>
  <c r="H68" i="10"/>
  <c r="I68" i="10"/>
  <c r="K68" i="10"/>
  <c r="E69" i="10"/>
  <c r="H69" i="10"/>
  <c r="I69" i="10"/>
  <c r="K69" i="10"/>
  <c r="H76" i="10"/>
  <c r="I76" i="10"/>
  <c r="H77" i="10"/>
  <c r="I77" i="10"/>
  <c r="E83" i="10"/>
  <c r="H83" i="10"/>
  <c r="I83" i="10"/>
  <c r="K83" i="10"/>
  <c r="E84" i="10"/>
  <c r="H84" i="10"/>
  <c r="I84" i="10"/>
  <c r="K84" i="10"/>
  <c r="E88" i="10"/>
  <c r="H88" i="10"/>
  <c r="I88" i="10"/>
  <c r="K88" i="10"/>
  <c r="E89" i="10"/>
  <c r="H89" i="10"/>
  <c r="I89" i="10"/>
  <c r="K89" i="10"/>
  <c r="I94" i="10"/>
  <c r="I95" i="10"/>
  <c r="E100" i="10"/>
  <c r="H100" i="10"/>
  <c r="I100" i="10"/>
  <c r="K100" i="10"/>
  <c r="E101" i="10"/>
  <c r="H101" i="10"/>
  <c r="I101" i="10"/>
  <c r="K101" i="10"/>
  <c r="E105" i="10"/>
  <c r="H105" i="10"/>
  <c r="I105" i="10"/>
  <c r="K105" i="10"/>
  <c r="E106" i="10"/>
  <c r="H106" i="10"/>
  <c r="I106" i="10"/>
  <c r="K106" i="10"/>
  <c r="I110" i="10"/>
  <c r="I111" i="10"/>
  <c r="E115" i="10"/>
  <c r="H115" i="10"/>
  <c r="I115" i="10"/>
  <c r="E116" i="10"/>
  <c r="H116" i="10"/>
  <c r="I116" i="10"/>
  <c r="E120" i="10"/>
  <c r="H120" i="10"/>
  <c r="I120" i="10"/>
  <c r="K120" i="10"/>
  <c r="E121" i="10"/>
  <c r="H121" i="10"/>
  <c r="I121" i="10"/>
  <c r="K121" i="10"/>
  <c r="E82" i="10"/>
  <c r="H82" i="10"/>
  <c r="I82" i="10"/>
  <c r="A20" i="10"/>
  <c r="A21" i="10"/>
  <c r="A51" i="10"/>
  <c r="A52" i="10"/>
  <c r="A53" i="10"/>
  <c r="A54" i="10"/>
  <c r="A55" i="10"/>
  <c r="A58" i="10"/>
  <c r="A59" i="10"/>
  <c r="A60" i="10"/>
  <c r="A61" i="10"/>
  <c r="A62" i="10"/>
  <c r="A65" i="10"/>
  <c r="A70" i="10"/>
  <c r="A73" i="10"/>
  <c r="A78" i="10"/>
  <c r="A79" i="10"/>
  <c r="A80" i="10"/>
  <c r="A81" i="10"/>
  <c r="A82" i="10"/>
  <c r="A83" i="10"/>
  <c r="A84" i="10"/>
  <c r="A85" i="10"/>
  <c r="A87" i="10"/>
  <c r="A90" i="10"/>
  <c r="A91" i="10"/>
  <c r="A92" i="10"/>
  <c r="A93" i="10"/>
  <c r="A96" i="10"/>
  <c r="A99" i="10"/>
  <c r="A102" i="10"/>
  <c r="A107" i="10"/>
  <c r="A112" i="10"/>
  <c r="A117" i="10"/>
  <c r="H74" i="10"/>
  <c r="I74" i="10"/>
  <c r="K73" i="5"/>
  <c r="E74" i="10" s="1"/>
  <c r="H99" i="10"/>
  <c r="I99" i="10"/>
  <c r="E99" i="10"/>
  <c r="I108" i="10"/>
  <c r="H113" i="10"/>
  <c r="I113" i="10"/>
  <c r="E113" i="10"/>
  <c r="H114" i="10"/>
  <c r="I114" i="10"/>
  <c r="E114" i="10"/>
  <c r="H61" i="10"/>
  <c r="I61" i="10"/>
  <c r="H62" i="10"/>
  <c r="I62" i="10"/>
  <c r="H67" i="10"/>
  <c r="I67" i="10"/>
  <c r="H73" i="10"/>
  <c r="I73" i="10"/>
  <c r="H75" i="10"/>
  <c r="I75" i="10"/>
  <c r="H81" i="10"/>
  <c r="I81" i="10"/>
  <c r="H87" i="10"/>
  <c r="I87" i="10"/>
  <c r="I91" i="10"/>
  <c r="I92" i="10"/>
  <c r="H93" i="10"/>
  <c r="I93" i="10"/>
  <c r="H97" i="10"/>
  <c r="I97" i="10"/>
  <c r="H98" i="10"/>
  <c r="I98" i="10"/>
  <c r="H103" i="10"/>
  <c r="I103" i="10"/>
  <c r="H104" i="10"/>
  <c r="I104" i="10"/>
  <c r="I109" i="10"/>
  <c r="H118" i="10"/>
  <c r="I118" i="10"/>
  <c r="H119" i="10"/>
  <c r="I119" i="10"/>
  <c r="K8" i="10"/>
  <c r="K15" i="10"/>
  <c r="K20" i="10"/>
  <c r="K21" i="10"/>
  <c r="K52" i="10"/>
  <c r="K53" i="10"/>
  <c r="K54" i="10"/>
  <c r="K55" i="10"/>
  <c r="K59" i="10"/>
  <c r="K60" i="10"/>
  <c r="K61" i="10"/>
  <c r="K62" i="10"/>
  <c r="K66" i="10"/>
  <c r="K67" i="10"/>
  <c r="K71" i="10"/>
  <c r="K72" i="10"/>
  <c r="K73" i="10"/>
  <c r="K74" i="10"/>
  <c r="K75" i="10"/>
  <c r="K79" i="10"/>
  <c r="K80" i="10"/>
  <c r="K81" i="10"/>
  <c r="K82" i="10"/>
  <c r="K86" i="10"/>
  <c r="K87" i="10"/>
  <c r="K93" i="10"/>
  <c r="K97" i="10"/>
  <c r="K98" i="10"/>
  <c r="K99" i="10"/>
  <c r="K103" i="10"/>
  <c r="K104" i="10"/>
  <c r="K113" i="10"/>
  <c r="K114" i="10"/>
  <c r="K118" i="10"/>
  <c r="K119" i="10"/>
  <c r="H80" i="10"/>
  <c r="I80" i="10"/>
  <c r="I60" i="10"/>
  <c r="H60" i="10"/>
  <c r="I66" i="10"/>
  <c r="H66" i="10"/>
  <c r="I79" i="10"/>
  <c r="H79" i="10"/>
  <c r="I86" i="10"/>
  <c r="H86" i="10"/>
  <c r="I7" i="10"/>
  <c r="E67" i="10"/>
  <c r="E81" i="10"/>
  <c r="E118" i="10"/>
  <c r="E119" i="10"/>
  <c r="E60" i="10"/>
  <c r="E61" i="10"/>
  <c r="E62" i="10"/>
  <c r="E66" i="10"/>
  <c r="K71" i="5"/>
  <c r="E72" i="10" s="1"/>
  <c r="E79" i="10"/>
  <c r="E80" i="10"/>
  <c r="E86" i="10"/>
  <c r="E87" i="10"/>
  <c r="K92" i="5"/>
  <c r="E93" i="10" s="1"/>
  <c r="E97" i="10"/>
  <c r="E98" i="10"/>
  <c r="E103" i="10"/>
  <c r="E104" i="10"/>
  <c r="A240" i="5"/>
  <c r="V240" i="5" s="1"/>
  <c r="A225" i="5"/>
  <c r="V225" i="5" s="1"/>
  <c r="A235" i="5"/>
  <c r="V235" i="5" s="1"/>
  <c r="A182" i="5"/>
  <c r="V182" i="5" s="1"/>
  <c r="A183" i="5"/>
  <c r="V183" i="5" s="1"/>
  <c r="A184" i="5"/>
  <c r="V184" i="5" s="1"/>
  <c r="A185" i="5"/>
  <c r="V185" i="5" s="1"/>
  <c r="A188" i="5"/>
  <c r="V188" i="5" s="1"/>
  <c r="A196" i="5"/>
  <c r="V196" i="5" s="1"/>
  <c r="A201" i="5"/>
  <c r="V201" i="5" s="1"/>
  <c r="A202" i="5"/>
  <c r="V202" i="5" s="1"/>
  <c r="A203" i="5"/>
  <c r="V203" i="5" s="1"/>
  <c r="A204" i="5"/>
  <c r="V204" i="5" s="1"/>
  <c r="A205" i="5"/>
  <c r="V205" i="5" s="1"/>
  <c r="A206" i="5"/>
  <c r="V206" i="5" s="1"/>
  <c r="A207" i="5"/>
  <c r="V207" i="5" s="1"/>
  <c r="A208" i="5"/>
  <c r="V208" i="5" s="1"/>
  <c r="A210" i="5"/>
  <c r="V210" i="5" s="1"/>
  <c r="A214" i="5"/>
  <c r="V214" i="5" s="1"/>
  <c r="A215" i="5"/>
  <c r="V215" i="5" s="1"/>
  <c r="A216" i="5"/>
  <c r="V216" i="5" s="1"/>
  <c r="A219" i="5"/>
  <c r="V219" i="5" s="1"/>
  <c r="A222" i="5"/>
  <c r="V222" i="5" s="1"/>
  <c r="A176" i="5"/>
  <c r="V176" i="5" s="1"/>
  <c r="A177" i="5"/>
  <c r="V177" i="5" s="1"/>
  <c r="A178" i="5"/>
  <c r="V178" i="5" s="1"/>
  <c r="A181" i="5"/>
  <c r="V181" i="5" s="1"/>
  <c r="A175" i="5"/>
  <c r="V175" i="5" s="1"/>
  <c r="I137" i="5"/>
  <c r="I142" i="5"/>
  <c r="I147" i="5"/>
  <c r="I151" i="5"/>
  <c r="J230" i="5"/>
  <c r="I230" i="5" s="1"/>
  <c r="J240" i="5"/>
  <c r="I240" i="5" s="1"/>
  <c r="R192" i="5"/>
  <c r="R202" i="5"/>
  <c r="R203" i="5"/>
  <c r="R204" i="5"/>
  <c r="R205" i="5"/>
  <c r="R206" i="5"/>
  <c r="R207" i="5"/>
  <c r="R209" i="5"/>
  <c r="R210" i="5"/>
  <c r="R211" i="5"/>
  <c r="R212" i="5"/>
  <c r="R220" i="5"/>
  <c r="R221" i="5"/>
  <c r="R222" i="5"/>
  <c r="R223" i="5"/>
  <c r="R224" i="5"/>
  <c r="R226" i="5"/>
  <c r="R227" i="5"/>
  <c r="R228" i="5"/>
  <c r="R229" i="5"/>
  <c r="R186" i="5"/>
  <c r="R187" i="5"/>
  <c r="R189" i="5"/>
  <c r="R190" i="5"/>
  <c r="R191" i="5"/>
  <c r="R236" i="5"/>
  <c r="R237" i="5"/>
  <c r="R238" i="5"/>
  <c r="R239" i="5"/>
  <c r="R241" i="5"/>
  <c r="R242" i="5"/>
  <c r="R243" i="5"/>
  <c r="R244" i="5"/>
  <c r="F184" i="5"/>
  <c r="F185" i="5"/>
  <c r="F186" i="5"/>
  <c r="F187" i="5"/>
  <c r="F189" i="5"/>
  <c r="G189" i="5"/>
  <c r="F190" i="5"/>
  <c r="F191" i="5"/>
  <c r="F192" i="5"/>
  <c r="F196" i="5"/>
  <c r="F197" i="5"/>
  <c r="F198" i="5"/>
  <c r="F199" i="5"/>
  <c r="F200" i="5"/>
  <c r="F202" i="5"/>
  <c r="G202" i="5"/>
  <c r="F203" i="5"/>
  <c r="G203" i="5"/>
  <c r="F204" i="5"/>
  <c r="F205" i="5"/>
  <c r="F206" i="5"/>
  <c r="F207" i="5"/>
  <c r="F209" i="5"/>
  <c r="G209" i="5"/>
  <c r="F210" i="5"/>
  <c r="F211" i="5"/>
  <c r="F212" i="5"/>
  <c r="G214" i="5"/>
  <c r="F215" i="5"/>
  <c r="F216" i="5"/>
  <c r="F217" i="5"/>
  <c r="F218" i="5"/>
  <c r="F220" i="5"/>
  <c r="G220" i="5"/>
  <c r="F221" i="5"/>
  <c r="F222" i="5"/>
  <c r="F223" i="5"/>
  <c r="F224" i="5"/>
  <c r="F226" i="5"/>
  <c r="G226" i="5"/>
  <c r="F227" i="5"/>
  <c r="F228" i="5"/>
  <c r="F229" i="5"/>
  <c r="F230" i="5"/>
  <c r="G231" i="5"/>
  <c r="F232" i="5"/>
  <c r="F233" i="5"/>
  <c r="F234" i="5"/>
  <c r="F236" i="5"/>
  <c r="G236" i="5"/>
  <c r="F237" i="5"/>
  <c r="F238" i="5"/>
  <c r="F239" i="5"/>
  <c r="F240" i="5"/>
  <c r="F241" i="5"/>
  <c r="G241" i="5"/>
  <c r="F242" i="5"/>
  <c r="F243" i="5"/>
  <c r="F244" i="5"/>
  <c r="D174" i="5"/>
  <c r="B240" i="5"/>
  <c r="D240" i="5" s="1"/>
  <c r="K230" i="5"/>
  <c r="K240" i="5"/>
  <c r="L151" i="5"/>
  <c r="F177" i="5"/>
  <c r="F178" i="5"/>
  <c r="F179" i="5"/>
  <c r="F180" i="5"/>
  <c r="F182" i="5"/>
  <c r="G182" i="5"/>
  <c r="F183" i="5"/>
  <c r="G183" i="5"/>
  <c r="G127" i="5"/>
  <c r="G245" i="5" s="1"/>
  <c r="F127" i="5"/>
  <c r="F245" i="5" s="1"/>
  <c r="G152" i="5"/>
  <c r="G148" i="5"/>
  <c r="F148" i="5"/>
  <c r="G143" i="5"/>
  <c r="F143" i="5"/>
  <c r="F130" i="5"/>
  <c r="G71" i="5"/>
  <c r="I72" i="10" s="1"/>
  <c r="E73" i="10"/>
  <c r="K74" i="5"/>
  <c r="E75" i="10" s="1"/>
  <c r="D7" i="8"/>
  <c r="H7" i="10"/>
  <c r="E7" i="10"/>
  <c r="I245" i="5"/>
  <c r="K245" i="5"/>
  <c r="L245" i="5"/>
  <c r="M245" i="5"/>
  <c r="O245" i="5"/>
  <c r="B245" i="5"/>
  <c r="C245" i="5"/>
  <c r="D245" i="5"/>
  <c r="E245" i="5"/>
  <c r="K7" i="10"/>
  <c r="H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4" i="8"/>
  <c r="A25" i="8"/>
  <c r="A26" i="8"/>
  <c r="A27" i="8"/>
  <c r="A28" i="8"/>
  <c r="A7" i="8"/>
  <c r="A6" i="8"/>
  <c r="M18" i="5"/>
  <c r="M13" i="5"/>
  <c r="M5" i="5"/>
  <c r="J127" i="5"/>
  <c r="J245" i="5" s="1"/>
  <c r="N127" i="5"/>
  <c r="N245" i="5" s="1"/>
  <c r="A36" i="5"/>
  <c r="A37" i="10" s="1"/>
  <c r="D220" i="5" l="1"/>
  <c r="M220" i="5"/>
  <c r="M105" i="10"/>
  <c r="M89" i="10"/>
  <c r="D53" i="8"/>
  <c r="M18" i="10"/>
  <c r="M23" i="10"/>
  <c r="C62" i="10"/>
  <c r="N61" i="5"/>
  <c r="N60" i="5"/>
  <c r="B57" i="5"/>
  <c r="M57" i="5"/>
  <c r="M121" i="10"/>
  <c r="M106" i="10"/>
  <c r="S34" i="5"/>
  <c r="A35" i="10"/>
  <c r="P198" i="5"/>
  <c r="O198" i="5"/>
  <c r="D72" i="8"/>
  <c r="O195" i="5"/>
  <c r="S30" i="5"/>
  <c r="A31" i="10"/>
  <c r="M68" i="10"/>
  <c r="S33" i="5"/>
  <c r="A34" i="10"/>
  <c r="M22" i="10"/>
  <c r="D186" i="5"/>
  <c r="P196" i="5"/>
  <c r="O196" i="5"/>
  <c r="O118" i="5"/>
  <c r="H108" i="5" s="1"/>
  <c r="C109" i="10"/>
  <c r="H4" i="8"/>
  <c r="H122" i="8" s="1"/>
  <c r="C122" i="10"/>
  <c r="M27" i="10"/>
  <c r="M64" i="10"/>
  <c r="M101" i="10"/>
  <c r="M88" i="10"/>
  <c r="M83" i="10"/>
  <c r="M69" i="10"/>
  <c r="M12" i="10"/>
  <c r="M10" i="10"/>
  <c r="M17" i="10"/>
  <c r="M120" i="10"/>
  <c r="M115" i="10"/>
  <c r="M84" i="10"/>
  <c r="M63" i="10"/>
  <c r="M100" i="10"/>
  <c r="M11" i="10"/>
  <c r="M9" i="10"/>
  <c r="J46" i="10"/>
  <c r="J47" i="10"/>
  <c r="J50" i="10"/>
  <c r="J45" i="10"/>
  <c r="J48" i="10"/>
  <c r="A161" i="5"/>
  <c r="S37" i="5"/>
  <c r="A68" i="5"/>
  <c r="S68" i="5" s="1"/>
  <c r="S88" i="5"/>
  <c r="M72" i="5"/>
  <c r="C73" i="10" s="1"/>
  <c r="S41" i="5"/>
  <c r="A165" i="5"/>
  <c r="A65" i="5"/>
  <c r="S65" i="5" s="1"/>
  <c r="S85" i="5"/>
  <c r="A75" i="5"/>
  <c r="A199" i="5" s="1"/>
  <c r="V199" i="5" s="1"/>
  <c r="S87" i="5"/>
  <c r="A94" i="5"/>
  <c r="A218" i="5" s="1"/>
  <c r="V218" i="5" s="1"/>
  <c r="S22" i="5"/>
  <c r="S40" i="5"/>
  <c r="A164" i="5"/>
  <c r="A75" i="8"/>
  <c r="S74" i="5"/>
  <c r="A93" i="5"/>
  <c r="S21" i="5"/>
  <c r="S36" i="5"/>
  <c r="A160" i="5"/>
  <c r="A103" i="5"/>
  <c r="S103" i="5" s="1"/>
  <c r="S97" i="5"/>
  <c r="S39" i="5"/>
  <c r="A163" i="5"/>
  <c r="A22" i="8"/>
  <c r="V145" i="5"/>
  <c r="A97" i="8"/>
  <c r="S96" i="5"/>
  <c r="A72" i="8"/>
  <c r="S71" i="5"/>
  <c r="E202" i="5"/>
  <c r="L79" i="10" s="1"/>
  <c r="A162" i="5"/>
  <c r="S38" i="5"/>
  <c r="S31" i="5"/>
  <c r="A30" i="8"/>
  <c r="S32" i="5"/>
  <c r="A153" i="5"/>
  <c r="V153" i="5" s="1"/>
  <c r="S29" i="5"/>
  <c r="M55" i="5"/>
  <c r="O62" i="5" s="1"/>
  <c r="A198" i="5"/>
  <c r="V198" i="5" s="1"/>
  <c r="O113" i="5"/>
  <c r="C90" i="5"/>
  <c r="K91" i="10" s="1"/>
  <c r="L168" i="5"/>
  <c r="A22" i="10"/>
  <c r="L143" i="5"/>
  <c r="C91" i="5"/>
  <c r="K92" i="10" s="1"/>
  <c r="L162" i="5"/>
  <c r="M170" i="5"/>
  <c r="Q170" i="5" s="1"/>
  <c r="S170" i="5" s="1"/>
  <c r="P46" i="5" s="1"/>
  <c r="D134" i="5"/>
  <c r="M134" i="5"/>
  <c r="M161" i="5"/>
  <c r="D148" i="5"/>
  <c r="L161" i="5"/>
  <c r="L130" i="5"/>
  <c r="R184" i="5"/>
  <c r="C61" i="10"/>
  <c r="H61" i="8"/>
  <c r="P197" i="5"/>
  <c r="H109" i="10"/>
  <c r="J109" i="10" s="1"/>
  <c r="O178" i="5"/>
  <c r="P178" i="5"/>
  <c r="P195" i="5"/>
  <c r="M143" i="5"/>
  <c r="M185" i="5"/>
  <c r="A157" i="5"/>
  <c r="V157" i="5" s="1"/>
  <c r="R185" i="5"/>
  <c r="M183" i="5"/>
  <c r="M207" i="5"/>
  <c r="D139" i="5"/>
  <c r="G176" i="5"/>
  <c r="D73" i="8"/>
  <c r="R183" i="5"/>
  <c r="A98" i="10"/>
  <c r="M241" i="5"/>
  <c r="M190" i="5"/>
  <c r="M91" i="5"/>
  <c r="O103" i="5" s="1"/>
  <c r="L224" i="5"/>
  <c r="M227" i="5"/>
  <c r="D207" i="5"/>
  <c r="E94" i="5"/>
  <c r="H95" i="10" s="1"/>
  <c r="J95" i="10" s="1"/>
  <c r="A221" i="5"/>
  <c r="V221" i="5" s="1"/>
  <c r="C60" i="10"/>
  <c r="A98" i="8"/>
  <c r="J62" i="10"/>
  <c r="L204" i="5"/>
  <c r="L227" i="5"/>
  <c r="L183" i="5"/>
  <c r="L202" i="5"/>
  <c r="L203" i="5"/>
  <c r="G195" i="5"/>
  <c r="H111" i="10"/>
  <c r="J111" i="10" s="1"/>
  <c r="D55" i="8"/>
  <c r="L244" i="5"/>
  <c r="M243" i="5"/>
  <c r="L243" i="5"/>
  <c r="B72" i="10"/>
  <c r="C72" i="8" s="1"/>
  <c r="M162" i="5"/>
  <c r="M139" i="5"/>
  <c r="L205" i="5"/>
  <c r="M209" i="5"/>
  <c r="M211" i="5"/>
  <c r="M228" i="5"/>
  <c r="L228" i="5"/>
  <c r="M244" i="5"/>
  <c r="A97" i="10"/>
  <c r="D75" i="8"/>
  <c r="A220" i="5"/>
  <c r="V220" i="5" s="1"/>
  <c r="D244" i="5"/>
  <c r="A195" i="5"/>
  <c r="V195" i="5" s="1"/>
  <c r="M140" i="5"/>
  <c r="Q140" i="5" s="1"/>
  <c r="M204" i="5"/>
  <c r="H94" i="5"/>
  <c r="K218" i="5" s="1"/>
  <c r="M182" i="5"/>
  <c r="B195" i="5"/>
  <c r="D195" i="5" s="1"/>
  <c r="M94" i="5"/>
  <c r="O100" i="5" s="1"/>
  <c r="A146" i="5"/>
  <c r="V146" i="5" s="1"/>
  <c r="A86" i="10"/>
  <c r="B55" i="10"/>
  <c r="C55" i="8" s="1"/>
  <c r="M145" i="5"/>
  <c r="L182" i="5"/>
  <c r="L190" i="5"/>
  <c r="M168" i="5"/>
  <c r="A86" i="8"/>
  <c r="M237" i="5"/>
  <c r="J7" i="10"/>
  <c r="N7" i="10" s="1"/>
  <c r="D144" i="5"/>
  <c r="M178" i="5"/>
  <c r="M173" i="5"/>
  <c r="M206" i="5"/>
  <c r="A31" i="8"/>
  <c r="L173" i="5"/>
  <c r="L240" i="5"/>
  <c r="M144" i="5"/>
  <c r="A209" i="5"/>
  <c r="V209" i="5" s="1"/>
  <c r="H72" i="10"/>
  <c r="J72" i="10" s="1"/>
  <c r="A23" i="10"/>
  <c r="A156" i="5"/>
  <c r="V156" i="5" s="1"/>
  <c r="A33" i="8"/>
  <c r="J56" i="10"/>
  <c r="M52" i="5"/>
  <c r="H53" i="8" s="1"/>
  <c r="M138" i="5"/>
  <c r="M76" i="5"/>
  <c r="O83" i="5" s="1"/>
  <c r="L206" i="5"/>
  <c r="H93" i="5"/>
  <c r="K217" i="5" s="1"/>
  <c r="M163" i="5"/>
  <c r="M90" i="5"/>
  <c r="O102" i="5" s="1"/>
  <c r="H53" i="10"/>
  <c r="J53" i="10" s="1"/>
  <c r="L178" i="5"/>
  <c r="A32" i="8"/>
  <c r="J79" i="10"/>
  <c r="A75" i="10"/>
  <c r="L242" i="5"/>
  <c r="D74" i="8"/>
  <c r="M70" i="5"/>
  <c r="R194" i="5" s="1"/>
  <c r="B198" i="5"/>
  <c r="L230" i="5"/>
  <c r="A155" i="5"/>
  <c r="V155" i="5" s="1"/>
  <c r="A72" i="10"/>
  <c r="B75" i="10"/>
  <c r="C75" i="8" s="1"/>
  <c r="M150" i="5"/>
  <c r="M146" i="5"/>
  <c r="M135" i="5"/>
  <c r="A154" i="5"/>
  <c r="V154" i="5" s="1"/>
  <c r="R54" i="5"/>
  <c r="E178" i="5" s="1"/>
  <c r="L185" i="5"/>
  <c r="M30" i="5"/>
  <c r="L187" i="5"/>
  <c r="H90" i="5"/>
  <c r="K214" i="5" s="1"/>
  <c r="L145" i="5"/>
  <c r="L138" i="5"/>
  <c r="M205" i="5"/>
  <c r="L15" i="10"/>
  <c r="D209" i="5"/>
  <c r="D211" i="5"/>
  <c r="H62" i="8"/>
  <c r="J97" i="10"/>
  <c r="M242" i="5"/>
  <c r="M28" i="5"/>
  <c r="O36" i="5" s="1"/>
  <c r="L210" i="5"/>
  <c r="L209" i="5"/>
  <c r="M54" i="5"/>
  <c r="H55" i="8" s="1"/>
  <c r="R182" i="5"/>
  <c r="L241" i="5"/>
  <c r="H59" i="8"/>
  <c r="L221" i="5"/>
  <c r="M133" i="5"/>
  <c r="M160" i="5"/>
  <c r="Q160" i="5" s="1"/>
  <c r="M186" i="5"/>
  <c r="M75" i="5"/>
  <c r="O82" i="5" s="1"/>
  <c r="M230" i="5"/>
  <c r="M203" i="5"/>
  <c r="L220" i="5"/>
  <c r="Q220" i="5" s="1"/>
  <c r="S220" i="5" s="1"/>
  <c r="M169" i="5"/>
  <c r="Q169" i="5" s="1"/>
  <c r="S169" i="5" s="1"/>
  <c r="P45" i="5" s="1"/>
  <c r="M239" i="5"/>
  <c r="M148" i="5"/>
  <c r="J37" i="10"/>
  <c r="M56" i="5"/>
  <c r="R180" i="5" s="1"/>
  <c r="E195" i="5"/>
  <c r="L72" i="10" s="1"/>
  <c r="L212" i="5"/>
  <c r="A76" i="5"/>
  <c r="S76" i="5" s="1"/>
  <c r="M51" i="5"/>
  <c r="O58" i="5" s="1"/>
  <c r="D150" i="5"/>
  <c r="A89" i="10"/>
  <c r="C59" i="10"/>
  <c r="M226" i="5"/>
  <c r="L238" i="5"/>
  <c r="A212" i="5"/>
  <c r="V212" i="5" s="1"/>
  <c r="L186" i="5"/>
  <c r="M221" i="5"/>
  <c r="L226" i="5"/>
  <c r="L229" i="5"/>
  <c r="J32" i="10"/>
  <c r="J31" i="10"/>
  <c r="M136" i="5"/>
  <c r="Q136" i="5" s="1"/>
  <c r="A74" i="10"/>
  <c r="A197" i="5"/>
  <c r="V197" i="5" s="1"/>
  <c r="A74" i="8"/>
  <c r="A94" i="10"/>
  <c r="M131" i="5"/>
  <c r="D131" i="5"/>
  <c r="H91" i="5"/>
  <c r="K215" i="5" s="1"/>
  <c r="E91" i="5"/>
  <c r="R92" i="5"/>
  <c r="E216" i="5" s="1"/>
  <c r="L93" i="10" s="1"/>
  <c r="E222" i="5"/>
  <c r="L99" i="10" s="1"/>
  <c r="M165" i="5"/>
  <c r="L163" i="5"/>
  <c r="R216" i="5"/>
  <c r="C93" i="10"/>
  <c r="H93" i="8"/>
  <c r="M93" i="5"/>
  <c r="O99" i="5" s="1"/>
  <c r="E93" i="5"/>
  <c r="I195" i="5"/>
  <c r="L149" i="5"/>
  <c r="D149" i="5"/>
  <c r="A190" i="5"/>
  <c r="V190" i="5" s="1"/>
  <c r="A67" i="8"/>
  <c r="A67" i="10"/>
  <c r="M141" i="5"/>
  <c r="D141" i="5"/>
  <c r="L141" i="5"/>
  <c r="B176" i="5"/>
  <c r="R52" i="5"/>
  <c r="E176" i="5" s="1"/>
  <c r="L53" i="10" s="1"/>
  <c r="B53" i="10"/>
  <c r="C53" i="8" s="1"/>
  <c r="L184" i="5"/>
  <c r="M184" i="5"/>
  <c r="B197" i="5"/>
  <c r="B74" i="10"/>
  <c r="C74" i="8" s="1"/>
  <c r="E197" i="5"/>
  <c r="L74" i="10" s="1"/>
  <c r="B216" i="5"/>
  <c r="B93" i="10"/>
  <c r="C93" i="8" s="1"/>
  <c r="L165" i="5"/>
  <c r="A71" i="8"/>
  <c r="A71" i="10"/>
  <c r="A194" i="5"/>
  <c r="V194" i="5" s="1"/>
  <c r="A76" i="10"/>
  <c r="A66" i="8"/>
  <c r="A88" i="10"/>
  <c r="A211" i="5"/>
  <c r="V211" i="5" s="1"/>
  <c r="A67" i="5"/>
  <c r="S67" i="5" s="1"/>
  <c r="A88" i="8"/>
  <c r="B73" i="10"/>
  <c r="C73" i="8" s="1"/>
  <c r="B196" i="5"/>
  <c r="E196" i="5"/>
  <c r="L73" i="10" s="1"/>
  <c r="M223" i="5"/>
  <c r="D223" i="5"/>
  <c r="L223" i="5"/>
  <c r="L171" i="5"/>
  <c r="M171" i="5"/>
  <c r="O176" i="5"/>
  <c r="D224" i="5"/>
  <c r="M224" i="5"/>
  <c r="L222" i="5"/>
  <c r="M222" i="5"/>
  <c r="J27" i="10"/>
  <c r="A102" i="5"/>
  <c r="S102" i="5" s="1"/>
  <c r="L239" i="5"/>
  <c r="M149" i="5"/>
  <c r="L207" i="5"/>
  <c r="M229" i="5"/>
  <c r="D145" i="5"/>
  <c r="M187" i="5"/>
  <c r="L189" i="5"/>
  <c r="M202" i="5"/>
  <c r="L211" i="5"/>
  <c r="J103" i="10"/>
  <c r="J17" i="10"/>
  <c r="A89" i="8"/>
  <c r="L236" i="5"/>
  <c r="M53" i="5"/>
  <c r="H54" i="8" s="1"/>
  <c r="L191" i="5"/>
  <c r="M33" i="5"/>
  <c r="J87" i="10"/>
  <c r="J61" i="10"/>
  <c r="J99" i="10"/>
  <c r="J26" i="10"/>
  <c r="N26" i="10" s="1"/>
  <c r="J23" i="10"/>
  <c r="J21" i="10"/>
  <c r="D146" i="5"/>
  <c r="L135" i="5"/>
  <c r="L133" i="5"/>
  <c r="J176" i="5"/>
  <c r="I176" i="5" s="1"/>
  <c r="M212" i="5"/>
  <c r="J33" i="10"/>
  <c r="A34" i="8"/>
  <c r="M164" i="5"/>
  <c r="Q164" i="5" s="1"/>
  <c r="S164" i="5" s="1"/>
  <c r="P40" i="5" s="1"/>
  <c r="J113" i="10"/>
  <c r="M130" i="5"/>
  <c r="J120" i="10"/>
  <c r="M236" i="5"/>
  <c r="J10" i="10"/>
  <c r="N10" i="10" s="1"/>
  <c r="J9" i="10"/>
  <c r="J101" i="10"/>
  <c r="J104" i="10"/>
  <c r="J73" i="10"/>
  <c r="J74" i="10"/>
  <c r="J38" i="10"/>
  <c r="J30" i="10"/>
  <c r="J88" i="10"/>
  <c r="J68" i="10"/>
  <c r="J22" i="10"/>
  <c r="J13" i="10"/>
  <c r="N13" i="10" s="1"/>
  <c r="J98" i="10"/>
  <c r="J119" i="10"/>
  <c r="J25" i="10"/>
  <c r="N25" i="10" s="1"/>
  <c r="J34" i="10"/>
  <c r="J80" i="10"/>
  <c r="J59" i="10"/>
  <c r="J55" i="10"/>
  <c r="J42" i="10"/>
  <c r="J76" i="10"/>
  <c r="J57" i="10"/>
  <c r="J106" i="10"/>
  <c r="N106" i="10" s="1"/>
  <c r="J100" i="10"/>
  <c r="N100" i="10" s="1"/>
  <c r="J35" i="10"/>
  <c r="J118" i="10"/>
  <c r="J83" i="10"/>
  <c r="J54" i="10"/>
  <c r="J41" i="10"/>
  <c r="N41" i="10" s="1"/>
  <c r="J93" i="10"/>
  <c r="J75" i="10"/>
  <c r="J121" i="10"/>
  <c r="N121" i="10" s="1"/>
  <c r="J89" i="10"/>
  <c r="N89" i="10" s="1"/>
  <c r="J105" i="10"/>
  <c r="N105" i="10" s="1"/>
  <c r="R195" i="5"/>
  <c r="C72" i="10"/>
  <c r="M34" i="5"/>
  <c r="M74" i="5"/>
  <c r="J233" i="5"/>
  <c r="I233" i="5" s="1"/>
  <c r="H110" i="10"/>
  <c r="J110" i="10" s="1"/>
  <c r="A29" i="10"/>
  <c r="A29" i="8"/>
  <c r="A152" i="5"/>
  <c r="V152" i="5" s="1"/>
  <c r="H74" i="8"/>
  <c r="R197" i="5"/>
  <c r="M31" i="5"/>
  <c r="J66" i="10"/>
  <c r="J81" i="10"/>
  <c r="J115" i="10"/>
  <c r="J44" i="10"/>
  <c r="J20" i="10"/>
  <c r="J16" i="10"/>
  <c r="N16" i="10" s="1"/>
  <c r="J39" i="10"/>
  <c r="N39" i="10" s="1"/>
  <c r="M240" i="5"/>
  <c r="J60" i="10"/>
  <c r="J63" i="10"/>
  <c r="D239" i="5"/>
  <c r="J86" i="10"/>
  <c r="J114" i="10"/>
  <c r="M238" i="5"/>
  <c r="J116" i="10"/>
  <c r="N116" i="10" s="1"/>
  <c r="J77" i="10"/>
  <c r="J64" i="10"/>
  <c r="J18" i="10"/>
  <c r="N18" i="10" s="1"/>
  <c r="L237" i="5"/>
  <c r="J234" i="5"/>
  <c r="I234" i="5" s="1"/>
  <c r="J67" i="10"/>
  <c r="M32" i="5"/>
  <c r="A158" i="5"/>
  <c r="V158" i="5" s="1"/>
  <c r="A35" i="8"/>
  <c r="J82" i="10"/>
  <c r="J84" i="10"/>
  <c r="J69" i="10"/>
  <c r="N69" i="10" s="1"/>
  <c r="J40" i="10"/>
  <c r="N40" i="10" s="1"/>
  <c r="M167" i="5"/>
  <c r="L167" i="5"/>
  <c r="D132" i="5"/>
  <c r="L132" i="5"/>
  <c r="M132" i="5"/>
  <c r="J15" i="10"/>
  <c r="M192" i="5"/>
  <c r="L192" i="5"/>
  <c r="M29" i="5"/>
  <c r="J12" i="10"/>
  <c r="C74" i="10"/>
  <c r="M189" i="5"/>
  <c r="D210" i="5"/>
  <c r="D187" i="5"/>
  <c r="M191" i="5"/>
  <c r="M210" i="5"/>
  <c r="D237" i="5"/>
  <c r="J11" i="10"/>
  <c r="J8" i="10"/>
  <c r="J232" i="5"/>
  <c r="I232" i="5" s="1"/>
  <c r="D179" i="5" l="1"/>
  <c r="N23" i="10"/>
  <c r="A69" i="8"/>
  <c r="L198" i="5"/>
  <c r="D198" i="5"/>
  <c r="A100" i="5"/>
  <c r="S100" i="5" s="1"/>
  <c r="R196" i="5"/>
  <c r="A69" i="10"/>
  <c r="H73" i="8"/>
  <c r="A227" i="5"/>
  <c r="V227" i="5" s="1"/>
  <c r="A104" i="10"/>
  <c r="N68" i="10"/>
  <c r="N64" i="10"/>
  <c r="O64" i="10" s="1"/>
  <c r="N120" i="10"/>
  <c r="O120" i="10" s="1"/>
  <c r="Q173" i="5"/>
  <c r="N11" i="10"/>
  <c r="O11" i="10" s="1"/>
  <c r="N12" i="10"/>
  <c r="A63" i="5"/>
  <c r="S63" i="5" s="1"/>
  <c r="Q171" i="5"/>
  <c r="S171" i="5" s="1"/>
  <c r="P47" i="5" s="1"/>
  <c r="A192" i="5"/>
  <c r="V192" i="5" s="1"/>
  <c r="A189" i="5"/>
  <c r="V189" i="5" s="1"/>
  <c r="O7" i="10"/>
  <c r="N27" i="10"/>
  <c r="N83" i="10"/>
  <c r="O83" i="10" s="1"/>
  <c r="Q165" i="5"/>
  <c r="S165" i="5" s="1"/>
  <c r="P41" i="5" s="1"/>
  <c r="N84" i="10"/>
  <c r="Q168" i="5"/>
  <c r="S168" i="5" s="1"/>
  <c r="P44" i="5" s="1"/>
  <c r="Q162" i="5"/>
  <c r="S162" i="5" s="1"/>
  <c r="P38" i="5" s="1"/>
  <c r="Q163" i="5"/>
  <c r="S163" i="5" s="1"/>
  <c r="P39" i="5" s="1"/>
  <c r="Q161" i="5"/>
  <c r="S161" i="5" s="1"/>
  <c r="P37" i="5" s="1"/>
  <c r="N22" i="10"/>
  <c r="N101" i="10"/>
  <c r="O101" i="10" s="1"/>
  <c r="N9" i="10"/>
  <c r="N17" i="10"/>
  <c r="N88" i="10"/>
  <c r="R154" i="5"/>
  <c r="C31" i="10"/>
  <c r="R157" i="5"/>
  <c r="C34" i="10"/>
  <c r="V160" i="5"/>
  <c r="A37" i="8"/>
  <c r="V164" i="5"/>
  <c r="A41" i="8"/>
  <c r="R155" i="5"/>
  <c r="C32" i="10"/>
  <c r="R158" i="5"/>
  <c r="C35" i="10"/>
  <c r="C29" i="10"/>
  <c r="O38" i="5"/>
  <c r="Q167" i="5"/>
  <c r="R156" i="5"/>
  <c r="C33" i="10"/>
  <c r="A42" i="8"/>
  <c r="V165" i="5"/>
  <c r="R153" i="5"/>
  <c r="C30" i="10"/>
  <c r="V162" i="5"/>
  <c r="A39" i="8"/>
  <c r="V163" i="5"/>
  <c r="A40" i="8"/>
  <c r="V161" i="5"/>
  <c r="A38" i="8"/>
  <c r="B108" i="5"/>
  <c r="B109" i="10" s="1"/>
  <c r="N115" i="10"/>
  <c r="N8" i="10"/>
  <c r="N73" i="10"/>
  <c r="N54" i="10"/>
  <c r="N42" i="10"/>
  <c r="N104" i="10"/>
  <c r="N45" i="10"/>
  <c r="N55" i="10"/>
  <c r="N21" i="10"/>
  <c r="N53" i="10"/>
  <c r="N62" i="10"/>
  <c r="N50" i="10"/>
  <c r="N97" i="10"/>
  <c r="N47" i="10"/>
  <c r="N44" i="10"/>
  <c r="N59" i="10"/>
  <c r="N80" i="10"/>
  <c r="N46" i="10"/>
  <c r="N114" i="10"/>
  <c r="N30" i="10"/>
  <c r="N99" i="10"/>
  <c r="N109" i="10"/>
  <c r="N98" i="10"/>
  <c r="N67" i="10"/>
  <c r="N118" i="10"/>
  <c r="N66" i="10"/>
  <c r="N38" i="10"/>
  <c r="N61" i="10"/>
  <c r="N103" i="10"/>
  <c r="N72" i="10"/>
  <c r="N48" i="10"/>
  <c r="N20" i="10"/>
  <c r="N86" i="10"/>
  <c r="N15" i="10"/>
  <c r="N63" i="10"/>
  <c r="N81" i="10"/>
  <c r="N82" i="10"/>
  <c r="N60" i="10"/>
  <c r="N75" i="10"/>
  <c r="N93" i="10"/>
  <c r="N119" i="10"/>
  <c r="N74" i="10"/>
  <c r="N87" i="10"/>
  <c r="N37" i="10"/>
  <c r="N79" i="10"/>
  <c r="B46" i="8"/>
  <c r="G46" i="8" s="1"/>
  <c r="I46" i="8" s="1"/>
  <c r="D46" i="10"/>
  <c r="F46" i="10" s="1"/>
  <c r="G46" i="10" s="1"/>
  <c r="B47" i="8"/>
  <c r="G47" i="8" s="1"/>
  <c r="I47" i="8" s="1"/>
  <c r="D47" i="10"/>
  <c r="F47" i="10" s="1"/>
  <c r="G47" i="10" s="1"/>
  <c r="B41" i="8"/>
  <c r="G41" i="8" s="1"/>
  <c r="I41" i="8" s="1"/>
  <c r="D41" i="10"/>
  <c r="D42" i="10"/>
  <c r="B37" i="8"/>
  <c r="G37" i="8" s="1"/>
  <c r="D37" i="10"/>
  <c r="S160" i="5"/>
  <c r="P36" i="5" s="1"/>
  <c r="N113" i="10"/>
  <c r="O41" i="10"/>
  <c r="O40" i="10"/>
  <c r="O39" i="10"/>
  <c r="A66" i="10"/>
  <c r="S136" i="5"/>
  <c r="P12" i="5" s="1"/>
  <c r="U136" i="5"/>
  <c r="U170" i="5"/>
  <c r="O88" i="5"/>
  <c r="J76" i="5" s="1"/>
  <c r="O200" i="5" s="1"/>
  <c r="O67" i="5"/>
  <c r="J55" i="5" s="1"/>
  <c r="O87" i="5"/>
  <c r="R75" i="5" s="1"/>
  <c r="A94" i="8"/>
  <c r="S93" i="5"/>
  <c r="A95" i="8"/>
  <c r="S94" i="5"/>
  <c r="A99" i="5"/>
  <c r="S99" i="5" s="1"/>
  <c r="A108" i="5"/>
  <c r="A113" i="5" s="1"/>
  <c r="A95" i="10"/>
  <c r="A76" i="8"/>
  <c r="S75" i="5"/>
  <c r="A217" i="5"/>
  <c r="V217" i="5" s="1"/>
  <c r="A104" i="8"/>
  <c r="S140" i="5"/>
  <c r="U140" i="5"/>
  <c r="R179" i="5"/>
  <c r="O85" i="5"/>
  <c r="O78" i="5"/>
  <c r="K108" i="5"/>
  <c r="E109" i="10" s="1"/>
  <c r="J108" i="5"/>
  <c r="O232" i="5" s="1"/>
  <c r="O65" i="5"/>
  <c r="K51" i="5" s="1"/>
  <c r="O63" i="5"/>
  <c r="D180" i="5" s="1"/>
  <c r="O40" i="5"/>
  <c r="O66" i="5"/>
  <c r="O68" i="5"/>
  <c r="O45" i="5"/>
  <c r="O43" i="5"/>
  <c r="O37" i="5"/>
  <c r="O47" i="5"/>
  <c r="O41" i="5"/>
  <c r="O39" i="5"/>
  <c r="O46" i="5"/>
  <c r="O44" i="5"/>
  <c r="O48" i="5"/>
  <c r="O60" i="5"/>
  <c r="U168" i="5"/>
  <c r="O97" i="5"/>
  <c r="J91" i="5" s="1"/>
  <c r="O96" i="5"/>
  <c r="O117" i="5"/>
  <c r="O112" i="5"/>
  <c r="O120" i="5"/>
  <c r="O115" i="5"/>
  <c r="O114" i="5"/>
  <c r="O119" i="5"/>
  <c r="R152" i="5"/>
  <c r="Q143" i="5"/>
  <c r="Q134" i="5"/>
  <c r="U134" i="5" s="1"/>
  <c r="Q130" i="5"/>
  <c r="U130" i="5" s="1"/>
  <c r="U169" i="5"/>
  <c r="Q148" i="5"/>
  <c r="U148" i="5" s="1"/>
  <c r="M27" i="5"/>
  <c r="Q228" i="5"/>
  <c r="U228" i="5" s="1"/>
  <c r="H92" i="8"/>
  <c r="C57" i="10"/>
  <c r="Q139" i="5"/>
  <c r="U139" i="5" s="1"/>
  <c r="Q204" i="5"/>
  <c r="U204" i="5" s="1"/>
  <c r="Q185" i="5"/>
  <c r="U185" i="5" s="1"/>
  <c r="U220" i="5"/>
  <c r="M198" i="5"/>
  <c r="H56" i="8"/>
  <c r="J218" i="5"/>
  <c r="I218" i="5" s="1"/>
  <c r="C56" i="10"/>
  <c r="Q205" i="5"/>
  <c r="U205" i="5" s="1"/>
  <c r="Q211" i="5"/>
  <c r="U211" i="5" s="1"/>
  <c r="Q243" i="5"/>
  <c r="U243" i="5" s="1"/>
  <c r="Q241" i="5"/>
  <c r="U241" i="5" s="1"/>
  <c r="Q183" i="5"/>
  <c r="U183" i="5" s="1"/>
  <c r="Q133" i="5"/>
  <c r="U133" i="5" s="1"/>
  <c r="Q203" i="5"/>
  <c r="U203" i="5" s="1"/>
  <c r="C92" i="10"/>
  <c r="R234" i="5"/>
  <c r="Q207" i="5"/>
  <c r="U207" i="5" s="1"/>
  <c r="Q144" i="5"/>
  <c r="U144" i="5" s="1"/>
  <c r="R215" i="5"/>
  <c r="Q227" i="5"/>
  <c r="U227" i="5" s="1"/>
  <c r="Q212" i="5"/>
  <c r="U212" i="5" s="1"/>
  <c r="Q190" i="5"/>
  <c r="U190" i="5" s="1"/>
  <c r="Q182" i="5"/>
  <c r="U182" i="5" s="1"/>
  <c r="Q202" i="5"/>
  <c r="U202" i="5" s="1"/>
  <c r="Q206" i="5"/>
  <c r="U206" i="5" s="1"/>
  <c r="D17" i="10"/>
  <c r="B17" i="8" s="1"/>
  <c r="G17" i="8" s="1"/>
  <c r="I17" i="8" s="1"/>
  <c r="Q236" i="5"/>
  <c r="U236" i="5" s="1"/>
  <c r="Q244" i="5"/>
  <c r="U244" i="5" s="1"/>
  <c r="Q242" i="5"/>
  <c r="U242" i="5" s="1"/>
  <c r="H57" i="8"/>
  <c r="Q238" i="5"/>
  <c r="U238" i="5" s="1"/>
  <c r="H77" i="8"/>
  <c r="O23" i="10"/>
  <c r="Q221" i="5"/>
  <c r="U221" i="5" s="1"/>
  <c r="M50" i="5"/>
  <c r="R200" i="5"/>
  <c r="C71" i="10"/>
  <c r="C77" i="10"/>
  <c r="H111" i="8"/>
  <c r="C53" i="10"/>
  <c r="R176" i="5"/>
  <c r="M89" i="5"/>
  <c r="C54" i="10"/>
  <c r="Q239" i="5"/>
  <c r="U239" i="5" s="1"/>
  <c r="H31" i="8"/>
  <c r="H29" i="8"/>
  <c r="Q191" i="5"/>
  <c r="U191" i="5" s="1"/>
  <c r="Q149" i="5"/>
  <c r="U149" i="5" s="1"/>
  <c r="Q186" i="5"/>
  <c r="U186" i="5" s="1"/>
  <c r="L195" i="5"/>
  <c r="Q226" i="5"/>
  <c r="U226" i="5" s="1"/>
  <c r="U160" i="5"/>
  <c r="Q138" i="5"/>
  <c r="U138" i="5" s="1"/>
  <c r="A23" i="8"/>
  <c r="U164" i="5"/>
  <c r="Q135" i="5"/>
  <c r="U135" i="5" s="1"/>
  <c r="O105" i="5"/>
  <c r="R94" i="5" s="1"/>
  <c r="H95" i="8"/>
  <c r="C95" i="10"/>
  <c r="R218" i="5"/>
  <c r="Q224" i="5"/>
  <c r="U224" i="5" s="1"/>
  <c r="Q150" i="5"/>
  <c r="U150" i="5" s="1"/>
  <c r="Q192" i="5"/>
  <c r="U192" i="5" s="1"/>
  <c r="Q145" i="5"/>
  <c r="U145" i="5" s="1"/>
  <c r="M195" i="5"/>
  <c r="U165" i="5"/>
  <c r="O106" i="10"/>
  <c r="O100" i="10"/>
  <c r="O121" i="10"/>
  <c r="O13" i="10"/>
  <c r="O16" i="10"/>
  <c r="O10" i="10"/>
  <c r="L55" i="10"/>
  <c r="Q178" i="5"/>
  <c r="U178" i="5" s="1"/>
  <c r="Q223" i="5"/>
  <c r="U223" i="5" s="1"/>
  <c r="H91" i="8"/>
  <c r="C91" i="10"/>
  <c r="R214" i="5"/>
  <c r="Q146" i="5"/>
  <c r="U146" i="5" s="1"/>
  <c r="H71" i="8"/>
  <c r="R177" i="5"/>
  <c r="R178" i="5"/>
  <c r="O68" i="10"/>
  <c r="M69" i="5"/>
  <c r="Q229" i="5"/>
  <c r="U229" i="5" s="1"/>
  <c r="U171" i="5"/>
  <c r="C52" i="10"/>
  <c r="H52" i="8"/>
  <c r="Q184" i="5"/>
  <c r="U184" i="5" s="1"/>
  <c r="R175" i="5"/>
  <c r="Q131" i="5"/>
  <c r="A77" i="8"/>
  <c r="A200" i="5"/>
  <c r="V200" i="5" s="1"/>
  <c r="A77" i="10"/>
  <c r="Q237" i="5"/>
  <c r="U237" i="5" s="1"/>
  <c r="C55" i="10"/>
  <c r="Q209" i="5"/>
  <c r="U209" i="5" s="1"/>
  <c r="H76" i="8"/>
  <c r="C76" i="10"/>
  <c r="R199" i="5"/>
  <c r="O26" i="10"/>
  <c r="D13" i="10"/>
  <c r="B13" i="8" s="1"/>
  <c r="G13" i="8" s="1"/>
  <c r="I13" i="8" s="1"/>
  <c r="R233" i="5"/>
  <c r="L196" i="5"/>
  <c r="D196" i="5"/>
  <c r="M196" i="5"/>
  <c r="J217" i="5"/>
  <c r="I217" i="5" s="1"/>
  <c r="H94" i="10"/>
  <c r="J94" i="10" s="1"/>
  <c r="M216" i="5"/>
  <c r="L216" i="5"/>
  <c r="Q222" i="5"/>
  <c r="U222" i="5" s="1"/>
  <c r="O9" i="10"/>
  <c r="O104" i="5"/>
  <c r="R93" i="5" s="1"/>
  <c r="C94" i="10"/>
  <c r="H94" i="8"/>
  <c r="R217" i="5"/>
  <c r="A62" i="5"/>
  <c r="S62" i="5" s="1"/>
  <c r="A68" i="8"/>
  <c r="A68" i="10"/>
  <c r="A191" i="5"/>
  <c r="V191" i="5" s="1"/>
  <c r="D176" i="5"/>
  <c r="M176" i="5"/>
  <c r="L176" i="5"/>
  <c r="A187" i="5"/>
  <c r="V187" i="5" s="1"/>
  <c r="A64" i="8"/>
  <c r="A64" i="10"/>
  <c r="A56" i="5"/>
  <c r="S56" i="5" s="1"/>
  <c r="L197" i="5"/>
  <c r="M197" i="5"/>
  <c r="Q189" i="5"/>
  <c r="U189" i="5" s="1"/>
  <c r="H34" i="8"/>
  <c r="Q187" i="5"/>
  <c r="U187" i="5" s="1"/>
  <c r="J215" i="5"/>
  <c r="I215" i="5" s="1"/>
  <c r="H92" i="10"/>
  <c r="J92" i="10" s="1"/>
  <c r="O89" i="10"/>
  <c r="A107" i="5"/>
  <c r="S107" i="5" s="1"/>
  <c r="A103" i="10"/>
  <c r="A226" i="5"/>
  <c r="V226" i="5" s="1"/>
  <c r="A117" i="5"/>
  <c r="S117" i="5" s="1"/>
  <c r="A103" i="8"/>
  <c r="A101" i="10"/>
  <c r="A105" i="5"/>
  <c r="S105" i="5" s="1"/>
  <c r="A224" i="5"/>
  <c r="V224" i="5" s="1"/>
  <c r="A101" i="8"/>
  <c r="Q141" i="5"/>
  <c r="O69" i="10"/>
  <c r="O105" i="10"/>
  <c r="O25" i="10"/>
  <c r="O116" i="10"/>
  <c r="H33" i="8"/>
  <c r="H32" i="8"/>
  <c r="O18" i="10"/>
  <c r="P158" i="5"/>
  <c r="H75" i="8"/>
  <c r="C75" i="10"/>
  <c r="R198" i="5"/>
  <c r="H35" i="8"/>
  <c r="O12" i="10"/>
  <c r="H30" i="8"/>
  <c r="Q132" i="5"/>
  <c r="Q210" i="5"/>
  <c r="U210" i="5" s="1"/>
  <c r="H110" i="8"/>
  <c r="H108" i="8"/>
  <c r="R231" i="5"/>
  <c r="M106" i="5"/>
  <c r="R232" i="5"/>
  <c r="H109" i="8"/>
  <c r="D48" i="10" l="1"/>
  <c r="F48" i="10" s="1"/>
  <c r="G48" i="10" s="1"/>
  <c r="S173" i="5"/>
  <c r="P49" i="5" s="1"/>
  <c r="A109" i="10"/>
  <c r="A232" i="5"/>
  <c r="V232" i="5" s="1"/>
  <c r="C55" i="5"/>
  <c r="K56" i="10" s="1"/>
  <c r="U163" i="5"/>
  <c r="A237" i="5"/>
  <c r="V237" i="5" s="1"/>
  <c r="B42" i="8"/>
  <c r="G42" i="8" s="1"/>
  <c r="I42" i="8" s="1"/>
  <c r="A104" i="5"/>
  <c r="S104" i="5" s="1"/>
  <c r="U173" i="5"/>
  <c r="R28" i="5"/>
  <c r="R30" i="5"/>
  <c r="K76" i="5"/>
  <c r="E77" i="10" s="1"/>
  <c r="O118" i="10"/>
  <c r="A100" i="10"/>
  <c r="U162" i="5"/>
  <c r="O93" i="10"/>
  <c r="O20" i="10"/>
  <c r="O67" i="10"/>
  <c r="O59" i="10"/>
  <c r="O55" i="10"/>
  <c r="O119" i="10"/>
  <c r="O86" i="10"/>
  <c r="O80" i="10"/>
  <c r="O21" i="10"/>
  <c r="O17" i="10"/>
  <c r="A223" i="5"/>
  <c r="V223" i="5" s="1"/>
  <c r="O75" i="10"/>
  <c r="O48" i="10"/>
  <c r="Q48" i="10" s="1"/>
  <c r="R48" i="10" s="1"/>
  <c r="P48" i="10"/>
  <c r="O98" i="10"/>
  <c r="O44" i="10"/>
  <c r="O45" i="10"/>
  <c r="A100" i="8"/>
  <c r="O84" i="10"/>
  <c r="O60" i="10"/>
  <c r="O72" i="10"/>
  <c r="O109" i="10"/>
  <c r="O47" i="10"/>
  <c r="P47" i="10"/>
  <c r="O104" i="10"/>
  <c r="O22" i="10"/>
  <c r="O27" i="10"/>
  <c r="O79" i="10"/>
  <c r="O82" i="10"/>
  <c r="O99" i="10"/>
  <c r="O97" i="10"/>
  <c r="O42" i="10"/>
  <c r="O103" i="10"/>
  <c r="G51" i="5"/>
  <c r="C93" i="5"/>
  <c r="K94" i="10" s="1"/>
  <c r="O113" i="10"/>
  <c r="O37" i="10"/>
  <c r="O81" i="10"/>
  <c r="O61" i="10"/>
  <c r="O30" i="10"/>
  <c r="O50" i="10"/>
  <c r="O54" i="10"/>
  <c r="O87" i="10"/>
  <c r="O38" i="10"/>
  <c r="O114" i="10"/>
  <c r="O62" i="10"/>
  <c r="O73" i="10"/>
  <c r="O63" i="10"/>
  <c r="O115" i="10"/>
  <c r="B48" i="8"/>
  <c r="G48" i="8" s="1"/>
  <c r="I48" i="8" s="1"/>
  <c r="O74" i="10"/>
  <c r="O15" i="10"/>
  <c r="O66" i="10"/>
  <c r="O46" i="10"/>
  <c r="Q46" i="10" s="1"/>
  <c r="R46" i="10" s="1"/>
  <c r="P46" i="10"/>
  <c r="O53" i="10"/>
  <c r="O8" i="10"/>
  <c r="O88" i="10"/>
  <c r="B55" i="5"/>
  <c r="D38" i="10"/>
  <c r="U161" i="5"/>
  <c r="B38" i="8"/>
  <c r="G38" i="8" s="1"/>
  <c r="I38" i="8" s="1"/>
  <c r="R76" i="5"/>
  <c r="C109" i="5"/>
  <c r="K110" i="10" s="1"/>
  <c r="B109" i="5"/>
  <c r="B110" i="10" s="1"/>
  <c r="J75" i="5"/>
  <c r="O199" i="5" s="1"/>
  <c r="E51" i="5"/>
  <c r="J93" i="5"/>
  <c r="D94" i="8" s="1"/>
  <c r="B76" i="5"/>
  <c r="B200" i="5" s="1"/>
  <c r="B232" i="5"/>
  <c r="L232" i="5" s="1"/>
  <c r="Q47" i="10"/>
  <c r="R47" i="10" s="1"/>
  <c r="B44" i="8"/>
  <c r="G44" i="8" s="1"/>
  <c r="I44" i="8" s="1"/>
  <c r="D44" i="10"/>
  <c r="C76" i="5"/>
  <c r="K77" i="10" s="1"/>
  <c r="J31" i="5"/>
  <c r="P155" i="5" s="1"/>
  <c r="C31" i="5"/>
  <c r="K32" i="10" s="1"/>
  <c r="K31" i="5"/>
  <c r="E32" i="10" s="1"/>
  <c r="B31" i="5"/>
  <c r="J32" i="5"/>
  <c r="P156" i="5" s="1"/>
  <c r="C32" i="5"/>
  <c r="K33" i="10" s="1"/>
  <c r="B32" i="5"/>
  <c r="K32" i="5"/>
  <c r="E33" i="10" s="1"/>
  <c r="C75" i="5"/>
  <c r="K76" i="10" s="1"/>
  <c r="C30" i="5"/>
  <c r="K31" i="10" s="1"/>
  <c r="K30" i="5"/>
  <c r="E31" i="10" s="1"/>
  <c r="J30" i="5"/>
  <c r="P154" i="5" s="1"/>
  <c r="B30" i="5"/>
  <c r="F90" i="5"/>
  <c r="F214" i="5" s="1"/>
  <c r="E90" i="5"/>
  <c r="C33" i="5"/>
  <c r="K34" i="10" s="1"/>
  <c r="B33" i="5"/>
  <c r="J33" i="5"/>
  <c r="P157" i="5" s="1"/>
  <c r="K33" i="5"/>
  <c r="E34" i="10" s="1"/>
  <c r="F70" i="5"/>
  <c r="K70" i="5"/>
  <c r="E71" i="10" s="1"/>
  <c r="B70" i="5"/>
  <c r="E70" i="5"/>
  <c r="J70" i="5"/>
  <c r="O194" i="5" s="1"/>
  <c r="R55" i="5"/>
  <c r="B75" i="5"/>
  <c r="P215" i="5"/>
  <c r="O215" i="5"/>
  <c r="K75" i="5"/>
  <c r="E76" i="10" s="1"/>
  <c r="F28" i="5"/>
  <c r="F152" i="5" s="1"/>
  <c r="J28" i="5"/>
  <c r="P152" i="5" s="1"/>
  <c r="I28" i="5"/>
  <c r="N152" i="5" s="1"/>
  <c r="B28" i="5"/>
  <c r="K28" i="5"/>
  <c r="E29" i="10" s="1"/>
  <c r="E28" i="5"/>
  <c r="H29" i="10" s="1"/>
  <c r="K29" i="5"/>
  <c r="E30" i="10" s="1"/>
  <c r="B29" i="5"/>
  <c r="J29" i="5"/>
  <c r="P153" i="5" s="1"/>
  <c r="J51" i="5"/>
  <c r="P232" i="5"/>
  <c r="I107" i="5"/>
  <c r="N231" i="5" s="1"/>
  <c r="F107" i="5"/>
  <c r="F231" i="5" s="1"/>
  <c r="E107" i="5"/>
  <c r="H108" i="10" s="1"/>
  <c r="J108" i="10" s="1"/>
  <c r="B107" i="5"/>
  <c r="K107" i="5"/>
  <c r="E108" i="10" s="1"/>
  <c r="J107" i="5"/>
  <c r="O231" i="5" s="1"/>
  <c r="B110" i="5"/>
  <c r="B111" i="10" s="1"/>
  <c r="C110" i="5"/>
  <c r="K111" i="10" s="1"/>
  <c r="N92" i="10"/>
  <c r="B50" i="8"/>
  <c r="G50" i="8" s="1"/>
  <c r="I50" i="8" s="1"/>
  <c r="D50" i="10"/>
  <c r="F50" i="10" s="1"/>
  <c r="G50" i="10" s="1"/>
  <c r="B45" i="8"/>
  <c r="G45" i="8" s="1"/>
  <c r="D45" i="10"/>
  <c r="F45" i="10" s="1"/>
  <c r="G45" i="10" s="1"/>
  <c r="B39" i="8"/>
  <c r="G39" i="8" s="1"/>
  <c r="I39" i="8" s="1"/>
  <c r="D39" i="10"/>
  <c r="F39" i="10" s="1"/>
  <c r="B40" i="8"/>
  <c r="G40" i="8" s="1"/>
  <c r="I40" i="8" s="1"/>
  <c r="D40" i="10"/>
  <c r="I37" i="8"/>
  <c r="U167" i="5"/>
  <c r="S167" i="5"/>
  <c r="P43" i="5" s="1"/>
  <c r="S229" i="5"/>
  <c r="P105" i="5" s="1"/>
  <c r="S186" i="5"/>
  <c r="P62" i="5" s="1"/>
  <c r="S221" i="5"/>
  <c r="C94" i="5"/>
  <c r="K95" i="10" s="1"/>
  <c r="S131" i="5"/>
  <c r="P7" i="5" s="1"/>
  <c r="U131" i="5"/>
  <c r="S192" i="5"/>
  <c r="P68" i="5" s="1"/>
  <c r="S236" i="5"/>
  <c r="P112" i="5" s="1"/>
  <c r="R56" i="5"/>
  <c r="K55" i="5"/>
  <c r="E56" i="10" s="1"/>
  <c r="J94" i="5"/>
  <c r="D95" i="8" s="1"/>
  <c r="S191" i="5"/>
  <c r="P67" i="5" s="1"/>
  <c r="S141" i="5"/>
  <c r="U141" i="5"/>
  <c r="S222" i="5"/>
  <c r="S190" i="5"/>
  <c r="P66" i="5" s="1"/>
  <c r="S209" i="5"/>
  <c r="S178" i="5"/>
  <c r="I70" i="5"/>
  <c r="N194" i="5" s="1"/>
  <c r="G70" i="5"/>
  <c r="G194" i="5" s="1"/>
  <c r="R70" i="5"/>
  <c r="S184" i="5"/>
  <c r="I51" i="5"/>
  <c r="A109" i="8"/>
  <c r="S108" i="5"/>
  <c r="S224" i="5"/>
  <c r="P100" i="5" s="1"/>
  <c r="S183" i="5"/>
  <c r="P59" i="5" s="1"/>
  <c r="F51" i="5"/>
  <c r="S210" i="5"/>
  <c r="S132" i="5"/>
  <c r="U132" i="5"/>
  <c r="S182" i="5"/>
  <c r="B51" i="5"/>
  <c r="S185" i="5"/>
  <c r="P61" i="5" s="1"/>
  <c r="S187" i="5"/>
  <c r="P63" i="5" s="1"/>
  <c r="A118" i="5"/>
  <c r="S118" i="5" s="1"/>
  <c r="S113" i="5"/>
  <c r="S143" i="5"/>
  <c r="P19" i="5" s="1"/>
  <c r="U143" i="5"/>
  <c r="J109" i="5"/>
  <c r="O233" i="5" s="1"/>
  <c r="R109" i="5"/>
  <c r="K109" i="5"/>
  <c r="E110" i="10" s="1"/>
  <c r="R110" i="5"/>
  <c r="J110" i="5"/>
  <c r="K110" i="5"/>
  <c r="E111" i="10" s="1"/>
  <c r="J53" i="5"/>
  <c r="P177" i="5" s="1"/>
  <c r="B53" i="5"/>
  <c r="B54" i="10" s="1"/>
  <c r="C54" i="8" s="1"/>
  <c r="K53" i="5"/>
  <c r="E54" i="10" s="1"/>
  <c r="R32" i="5"/>
  <c r="C56" i="5"/>
  <c r="K57" i="10" s="1"/>
  <c r="B56" i="5"/>
  <c r="B57" i="10" s="1"/>
  <c r="C57" i="8" s="1"/>
  <c r="J56" i="5"/>
  <c r="K56" i="5"/>
  <c r="E57" i="10" s="1"/>
  <c r="D25" i="10"/>
  <c r="F25" i="10" s="1"/>
  <c r="R31" i="5"/>
  <c r="R33" i="5"/>
  <c r="R29" i="5"/>
  <c r="K93" i="5"/>
  <c r="E94" i="10" s="1"/>
  <c r="B93" i="5"/>
  <c r="B94" i="10" s="1"/>
  <c r="C94" i="8" s="1"/>
  <c r="B94" i="5"/>
  <c r="B218" i="5" s="1"/>
  <c r="B90" i="5"/>
  <c r="I90" i="5"/>
  <c r="N214" i="5" s="1"/>
  <c r="K90" i="5"/>
  <c r="E91" i="10" s="1"/>
  <c r="R90" i="5"/>
  <c r="K94" i="5"/>
  <c r="E95" i="10" s="1"/>
  <c r="K91" i="5"/>
  <c r="E92" i="10" s="1"/>
  <c r="B91" i="5"/>
  <c r="B92" i="10" s="1"/>
  <c r="C92" i="8" s="1"/>
  <c r="R91" i="5"/>
  <c r="D20" i="10"/>
  <c r="F20" i="10" s="1"/>
  <c r="G20" i="10" s="1"/>
  <c r="D121" i="10"/>
  <c r="B121" i="8" s="1"/>
  <c r="S244" i="5"/>
  <c r="P120" i="5" s="1"/>
  <c r="D88" i="10"/>
  <c r="B88" i="8" s="1"/>
  <c r="G88" i="8" s="1"/>
  <c r="I88" i="8" s="1"/>
  <c r="S211" i="5"/>
  <c r="P87" i="5" s="1"/>
  <c r="D105" i="10"/>
  <c r="F105" i="10" s="1"/>
  <c r="S228" i="5"/>
  <c r="P104" i="5" s="1"/>
  <c r="S130" i="5"/>
  <c r="D26" i="10"/>
  <c r="B26" i="8" s="1"/>
  <c r="G26" i="8" s="1"/>
  <c r="I26" i="8" s="1"/>
  <c r="S149" i="5"/>
  <c r="P25" i="5" s="1"/>
  <c r="S206" i="5"/>
  <c r="P82" i="5" s="1"/>
  <c r="D82" i="10"/>
  <c r="B82" i="8" s="1"/>
  <c r="S205" i="5"/>
  <c r="P81" i="5" s="1"/>
  <c r="D80" i="10"/>
  <c r="B80" i="8" s="1"/>
  <c r="S203" i="5"/>
  <c r="P79" i="5" s="1"/>
  <c r="F42" i="10"/>
  <c r="G42" i="10" s="1"/>
  <c r="S202" i="5"/>
  <c r="D11" i="10"/>
  <c r="F11" i="10" s="1"/>
  <c r="G11" i="10" s="1"/>
  <c r="S134" i="5"/>
  <c r="P10" i="5" s="1"/>
  <c r="D15" i="10"/>
  <c r="F15" i="10" s="1"/>
  <c r="G15" i="10" s="1"/>
  <c r="S138" i="5"/>
  <c r="P14" i="5" s="1"/>
  <c r="Q137" i="5"/>
  <c r="S144" i="5"/>
  <c r="P20" i="5" s="1"/>
  <c r="D81" i="10"/>
  <c r="B81" i="8" s="1"/>
  <c r="S204" i="5"/>
  <c r="P80" i="5" s="1"/>
  <c r="S150" i="5"/>
  <c r="P26" i="5" s="1"/>
  <c r="S242" i="5"/>
  <c r="P118" i="5" s="1"/>
  <c r="D104" i="10"/>
  <c r="B104" i="8" s="1"/>
  <c r="S227" i="5"/>
  <c r="P103" i="5" s="1"/>
  <c r="D10" i="10"/>
  <c r="F10" i="10" s="1"/>
  <c r="S133" i="5"/>
  <c r="P9" i="5" s="1"/>
  <c r="S189" i="5"/>
  <c r="D7" i="10"/>
  <c r="F7" i="10" s="1"/>
  <c r="S237" i="5"/>
  <c r="D23" i="10"/>
  <c r="B23" i="8" s="1"/>
  <c r="G23" i="8" s="1"/>
  <c r="I23" i="8" s="1"/>
  <c r="S146" i="5"/>
  <c r="P22" i="5" s="1"/>
  <c r="D115" i="10"/>
  <c r="B115" i="8" s="1"/>
  <c r="G115" i="8" s="1"/>
  <c r="I115" i="8" s="1"/>
  <c r="S238" i="5"/>
  <c r="S207" i="5"/>
  <c r="P83" i="5" s="1"/>
  <c r="D118" i="10"/>
  <c r="F118" i="10" s="1"/>
  <c r="G118" i="10" s="1"/>
  <c r="S241" i="5"/>
  <c r="S239" i="5"/>
  <c r="D97" i="10"/>
  <c r="F97" i="10" s="1"/>
  <c r="G97" i="10" s="1"/>
  <c r="P96" i="5"/>
  <c r="S145" i="5"/>
  <c r="P21" i="5" s="1"/>
  <c r="S135" i="5"/>
  <c r="P11" i="5" s="1"/>
  <c r="D103" i="10"/>
  <c r="F103" i="10" s="1"/>
  <c r="G103" i="10" s="1"/>
  <c r="S226" i="5"/>
  <c r="P102" i="5" s="1"/>
  <c r="S139" i="5"/>
  <c r="P15" i="5" s="1"/>
  <c r="D100" i="10"/>
  <c r="F100" i="10" s="1"/>
  <c r="S223" i="5"/>
  <c r="D89" i="10"/>
  <c r="F89" i="10" s="1"/>
  <c r="S212" i="5"/>
  <c r="P88" i="5" s="1"/>
  <c r="D120" i="10"/>
  <c r="F120" i="10" s="1"/>
  <c r="S243" i="5"/>
  <c r="S148" i="5"/>
  <c r="P24" i="5" s="1"/>
  <c r="D60" i="10"/>
  <c r="F60" i="10" s="1"/>
  <c r="G60" i="10" s="1"/>
  <c r="D63" i="10"/>
  <c r="F63" i="10" s="1"/>
  <c r="G63" i="10" s="1"/>
  <c r="P200" i="5"/>
  <c r="D119" i="10"/>
  <c r="B119" i="8" s="1"/>
  <c r="D16" i="10"/>
  <c r="B16" i="8" s="1"/>
  <c r="D62" i="10"/>
  <c r="F62" i="10" s="1"/>
  <c r="G62" i="10" s="1"/>
  <c r="D84" i="10"/>
  <c r="B84" i="8" s="1"/>
  <c r="G84" i="8" s="1"/>
  <c r="I84" i="8" s="1"/>
  <c r="A114" i="8"/>
  <c r="P179" i="5"/>
  <c r="A114" i="10"/>
  <c r="B56" i="10"/>
  <c r="C56" i="8" s="1"/>
  <c r="Q198" i="5"/>
  <c r="U198" i="5" s="1"/>
  <c r="D21" i="10"/>
  <c r="Q240" i="5"/>
  <c r="D69" i="10"/>
  <c r="F69" i="10" s="1"/>
  <c r="C109" i="8"/>
  <c r="D79" i="10"/>
  <c r="P16" i="5"/>
  <c r="D67" i="10"/>
  <c r="F67" i="10" s="1"/>
  <c r="G67" i="10" s="1"/>
  <c r="A242" i="5"/>
  <c r="V242" i="5" s="1"/>
  <c r="D59" i="10"/>
  <c r="B59" i="8" s="1"/>
  <c r="P58" i="5"/>
  <c r="Q201" i="5"/>
  <c r="F17" i="10"/>
  <c r="G17" i="10" s="1"/>
  <c r="Q17" i="10" s="1"/>
  <c r="R17" i="10" s="1"/>
  <c r="D113" i="10"/>
  <c r="F113" i="10" s="1"/>
  <c r="G113" i="10" s="1"/>
  <c r="Q147" i="5"/>
  <c r="D83" i="10"/>
  <c r="B83" i="8" s="1"/>
  <c r="D27" i="10"/>
  <c r="F27" i="10" s="1"/>
  <c r="G27" i="10" s="1"/>
  <c r="D98" i="10"/>
  <c r="D92" i="8"/>
  <c r="Q219" i="5"/>
  <c r="D101" i="10"/>
  <c r="F101" i="10" s="1"/>
  <c r="G101" i="10" s="1"/>
  <c r="D116" i="10"/>
  <c r="F116" i="10" s="1"/>
  <c r="D68" i="10"/>
  <c r="B68" i="8" s="1"/>
  <c r="G68" i="8" s="1"/>
  <c r="I68" i="8" s="1"/>
  <c r="Q235" i="5"/>
  <c r="Q195" i="5"/>
  <c r="U195" i="5" s="1"/>
  <c r="D12" i="10"/>
  <c r="B12" i="8" s="1"/>
  <c r="G12" i="8" s="1"/>
  <c r="I12" i="8" s="1"/>
  <c r="D22" i="10"/>
  <c r="B22" i="8" s="1"/>
  <c r="G22" i="8" s="1"/>
  <c r="I22" i="8" s="1"/>
  <c r="Q225" i="5"/>
  <c r="Q159" i="5"/>
  <c r="D109" i="8"/>
  <c r="F13" i="10"/>
  <c r="C28" i="5"/>
  <c r="K29" i="10" s="1"/>
  <c r="Q142" i="5"/>
  <c r="J90" i="5"/>
  <c r="O214" i="5" s="1"/>
  <c r="D66" i="10"/>
  <c r="F66" i="10" s="1"/>
  <c r="G66" i="10" s="1"/>
  <c r="D106" i="10"/>
  <c r="Q188" i="5"/>
  <c r="D114" i="10"/>
  <c r="F114" i="10" s="1"/>
  <c r="G114" i="10" s="1"/>
  <c r="Q166" i="5"/>
  <c r="F194" i="5"/>
  <c r="Q196" i="5"/>
  <c r="U196" i="5" s="1"/>
  <c r="D55" i="10"/>
  <c r="D86" i="10"/>
  <c r="D64" i="10"/>
  <c r="F64" i="10" s="1"/>
  <c r="Q181" i="5"/>
  <c r="D61" i="10"/>
  <c r="D8" i="10"/>
  <c r="D99" i="10"/>
  <c r="J214" i="5"/>
  <c r="H91" i="10"/>
  <c r="J91" i="10" s="1"/>
  <c r="Q176" i="5"/>
  <c r="U176" i="5" s="1"/>
  <c r="A186" i="5"/>
  <c r="V186" i="5" s="1"/>
  <c r="A55" i="5"/>
  <c r="S55" i="5" s="1"/>
  <c r="A63" i="8"/>
  <c r="A63" i="10"/>
  <c r="Q216" i="5"/>
  <c r="U216" i="5" s="1"/>
  <c r="A106" i="8"/>
  <c r="A110" i="5"/>
  <c r="S110" i="5" s="1"/>
  <c r="A106" i="10"/>
  <c r="A229" i="5"/>
  <c r="V229" i="5" s="1"/>
  <c r="A231" i="5"/>
  <c r="V231" i="5" s="1"/>
  <c r="A57" i="8"/>
  <c r="A57" i="10"/>
  <c r="A180" i="5"/>
  <c r="V180" i="5" s="1"/>
  <c r="A118" i="8"/>
  <c r="A118" i="10"/>
  <c r="A105" i="8"/>
  <c r="A109" i="5"/>
  <c r="S109" i="5" s="1"/>
  <c r="A105" i="10"/>
  <c r="A228" i="5"/>
  <c r="V228" i="5" s="1"/>
  <c r="A108" i="10"/>
  <c r="A112" i="5"/>
  <c r="S112" i="5" s="1"/>
  <c r="A108" i="8"/>
  <c r="Q197" i="5"/>
  <c r="U197" i="5" s="1"/>
  <c r="D18" i="10"/>
  <c r="O158" i="5"/>
  <c r="D35" i="8"/>
  <c r="C35" i="8"/>
  <c r="M35" i="10"/>
  <c r="N35" i="10" s="1"/>
  <c r="D9" i="10"/>
  <c r="Q129" i="5"/>
  <c r="D87" i="10"/>
  <c r="Q208" i="5"/>
  <c r="C29" i="5"/>
  <c r="K30" i="10" s="1"/>
  <c r="R108" i="5"/>
  <c r="E232" i="5" s="1"/>
  <c r="L109" i="10" s="1"/>
  <c r="D232" i="5"/>
  <c r="M232" i="5"/>
  <c r="B180" i="5" l="1"/>
  <c r="S188" i="5"/>
  <c r="B89" i="5"/>
  <c r="A119" i="10"/>
  <c r="A119" i="8"/>
  <c r="B108" i="10"/>
  <c r="C108" i="8" s="1"/>
  <c r="B106" i="5"/>
  <c r="Q103" i="10"/>
  <c r="R103" i="10" s="1"/>
  <c r="I214" i="5"/>
  <c r="R107" i="5"/>
  <c r="E231" i="5" s="1"/>
  <c r="L108" i="10" s="1"/>
  <c r="B231" i="5"/>
  <c r="L231" i="5" s="1"/>
  <c r="P199" i="5"/>
  <c r="B194" i="5"/>
  <c r="D194" i="5" s="1"/>
  <c r="B69" i="5"/>
  <c r="B50" i="5"/>
  <c r="Q42" i="10"/>
  <c r="R42" i="10" s="1"/>
  <c r="P97" i="10"/>
  <c r="P113" i="10"/>
  <c r="P11" i="10"/>
  <c r="G13" i="10"/>
  <c r="Q13" i="10" s="1"/>
  <c r="R13" i="10" s="1"/>
  <c r="P13" i="10"/>
  <c r="G105" i="10"/>
  <c r="P105" i="10"/>
  <c r="P27" i="10"/>
  <c r="G64" i="10"/>
  <c r="P64" i="10"/>
  <c r="G116" i="10"/>
  <c r="Q116" i="10" s="1"/>
  <c r="R116" i="10" s="1"/>
  <c r="P116" i="10"/>
  <c r="P15" i="10"/>
  <c r="G10" i="10"/>
  <c r="Q10" i="10" s="1"/>
  <c r="R10" i="10" s="1"/>
  <c r="P10" i="10"/>
  <c r="G89" i="10"/>
  <c r="Q89" i="10" s="1"/>
  <c r="R89" i="10" s="1"/>
  <c r="P89" i="10"/>
  <c r="P101" i="10"/>
  <c r="D108" i="8"/>
  <c r="O92" i="10"/>
  <c r="B27" i="5"/>
  <c r="E179" i="5"/>
  <c r="L56" i="10" s="1"/>
  <c r="M56" i="10" s="1"/>
  <c r="N56" i="10" s="1"/>
  <c r="P45" i="10"/>
  <c r="G120" i="10"/>
  <c r="Q120" i="10" s="1"/>
  <c r="R120" i="10" s="1"/>
  <c r="P120" i="10"/>
  <c r="G69" i="10"/>
  <c r="P69" i="10"/>
  <c r="G100" i="10"/>
  <c r="Q100" i="10" s="1"/>
  <c r="R100" i="10" s="1"/>
  <c r="P100" i="10"/>
  <c r="G39" i="10"/>
  <c r="Q39" i="10" s="1"/>
  <c r="R39" i="10" s="1"/>
  <c r="P39" i="10"/>
  <c r="P62" i="10"/>
  <c r="P103" i="10"/>
  <c r="P60" i="10"/>
  <c r="G7" i="10"/>
  <c r="Q7" i="10" s="1"/>
  <c r="R7" i="10" s="1"/>
  <c r="P7" i="10"/>
  <c r="P67" i="10"/>
  <c r="P114" i="10"/>
  <c r="P50" i="10"/>
  <c r="P42" i="10"/>
  <c r="P17" i="10"/>
  <c r="P118" i="10"/>
  <c r="G25" i="10"/>
  <c r="Q25" i="10" s="1"/>
  <c r="P25" i="10"/>
  <c r="P66" i="10"/>
  <c r="P63" i="10"/>
  <c r="P20" i="10"/>
  <c r="J231" i="5"/>
  <c r="I231" i="5" s="1"/>
  <c r="B77" i="10"/>
  <c r="C77" i="8" s="1"/>
  <c r="B32" i="10"/>
  <c r="C32" i="8" s="1"/>
  <c r="B155" i="5"/>
  <c r="M155" i="5" s="1"/>
  <c r="B152" i="5"/>
  <c r="D152" i="5" s="1"/>
  <c r="B29" i="10"/>
  <c r="C29" i="8" s="1"/>
  <c r="B34" i="10"/>
  <c r="C34" i="8" s="1"/>
  <c r="B157" i="5"/>
  <c r="O217" i="5"/>
  <c r="P217" i="5"/>
  <c r="S181" i="5"/>
  <c r="P57" i="5" s="1"/>
  <c r="P218" i="5"/>
  <c r="O218" i="5"/>
  <c r="B95" i="10"/>
  <c r="C95" i="8" s="1"/>
  <c r="B33" i="10"/>
  <c r="C33" i="8" s="1"/>
  <c r="B156" i="5"/>
  <c r="B153" i="5"/>
  <c r="B30" i="10"/>
  <c r="C30" i="8" s="1"/>
  <c r="B154" i="5"/>
  <c r="D154" i="5" s="1"/>
  <c r="B31" i="10"/>
  <c r="C31" i="8" s="1"/>
  <c r="E234" i="5"/>
  <c r="L111" i="10" s="1"/>
  <c r="M111" i="10" s="1"/>
  <c r="N111" i="10" s="1"/>
  <c r="P231" i="5"/>
  <c r="D111" i="8"/>
  <c r="O234" i="5"/>
  <c r="B234" i="5"/>
  <c r="L234" i="5" s="1"/>
  <c r="N91" i="10"/>
  <c r="Q45" i="10"/>
  <c r="R45" i="10" s="1"/>
  <c r="I45" i="8"/>
  <c r="I43" i="8" s="1"/>
  <c r="G43" i="8"/>
  <c r="Q50" i="10"/>
  <c r="R50" i="10" s="1"/>
  <c r="G36" i="8"/>
  <c r="I36" i="8"/>
  <c r="O35" i="10"/>
  <c r="N108" i="10"/>
  <c r="P6" i="5"/>
  <c r="S129" i="5"/>
  <c r="G80" i="8"/>
  <c r="G83" i="8"/>
  <c r="I83" i="8" s="1"/>
  <c r="G104" i="8"/>
  <c r="I104" i="8" s="1"/>
  <c r="G59" i="8"/>
  <c r="G16" i="8"/>
  <c r="I16" i="8" s="1"/>
  <c r="G82" i="8"/>
  <c r="I82" i="8" s="1"/>
  <c r="G119" i="8"/>
  <c r="I119" i="8" s="1"/>
  <c r="G81" i="8"/>
  <c r="I81" i="8" s="1"/>
  <c r="G121" i="8"/>
  <c r="I121" i="8" s="1"/>
  <c r="S176" i="5"/>
  <c r="S195" i="5"/>
  <c r="P71" i="5" s="1"/>
  <c r="S198" i="5"/>
  <c r="P74" i="5" s="1"/>
  <c r="C111" i="8"/>
  <c r="O177" i="5"/>
  <c r="S216" i="5"/>
  <c r="S196" i="5"/>
  <c r="P72" i="5" s="1"/>
  <c r="D54" i="8"/>
  <c r="S197" i="5"/>
  <c r="P234" i="5"/>
  <c r="B25" i="8"/>
  <c r="E218" i="5"/>
  <c r="L95" i="10" s="1"/>
  <c r="M95" i="10" s="1"/>
  <c r="N95" i="10" s="1"/>
  <c r="B215" i="5"/>
  <c r="M215" i="5" s="1"/>
  <c r="E214" i="5"/>
  <c r="L91" i="10" s="1"/>
  <c r="E215" i="5"/>
  <c r="L92" i="10" s="1"/>
  <c r="E217" i="5"/>
  <c r="L94" i="10" s="1"/>
  <c r="M94" i="10" s="1"/>
  <c r="N94" i="10" s="1"/>
  <c r="B217" i="5"/>
  <c r="L217" i="5" s="1"/>
  <c r="B214" i="5"/>
  <c r="M214" i="5" s="1"/>
  <c r="B91" i="10"/>
  <c r="C91" i="8" s="1"/>
  <c r="B20" i="8"/>
  <c r="E200" i="5"/>
  <c r="L77" i="10" s="1"/>
  <c r="M77" i="10" s="1"/>
  <c r="N77" i="10" s="1"/>
  <c r="F121" i="10"/>
  <c r="F115" i="10"/>
  <c r="B105" i="8"/>
  <c r="B103" i="8"/>
  <c r="F104" i="10"/>
  <c r="B100" i="8"/>
  <c r="B10" i="8"/>
  <c r="B7" i="8"/>
  <c r="F26" i="10"/>
  <c r="B118" i="8"/>
  <c r="B89" i="8"/>
  <c r="Q15" i="10"/>
  <c r="F81" i="10"/>
  <c r="F80" i="10"/>
  <c r="B15" i="8"/>
  <c r="F88" i="10"/>
  <c r="F23" i="10"/>
  <c r="F82" i="10"/>
  <c r="Q11" i="10"/>
  <c r="R11" i="10" s="1"/>
  <c r="B97" i="8"/>
  <c r="B120" i="8"/>
  <c r="B11" i="8"/>
  <c r="B60" i="8"/>
  <c r="B63" i="8"/>
  <c r="F38" i="10"/>
  <c r="F16" i="10"/>
  <c r="D77" i="8"/>
  <c r="J29" i="10"/>
  <c r="N29" i="10" s="1"/>
  <c r="D29" i="8"/>
  <c r="J152" i="5"/>
  <c r="I152" i="5" s="1"/>
  <c r="D56" i="8"/>
  <c r="Q62" i="10"/>
  <c r="R62" i="10" s="1"/>
  <c r="B62" i="8"/>
  <c r="F119" i="10"/>
  <c r="D57" i="8"/>
  <c r="P180" i="5"/>
  <c r="P233" i="5"/>
  <c r="P117" i="5"/>
  <c r="P78" i="5"/>
  <c r="P194" i="5"/>
  <c r="D91" i="8"/>
  <c r="P214" i="5"/>
  <c r="B179" i="5"/>
  <c r="M179" i="5" s="1"/>
  <c r="O152" i="5"/>
  <c r="F84" i="10"/>
  <c r="O179" i="5"/>
  <c r="D75" i="10"/>
  <c r="F75" i="10" s="1"/>
  <c r="P119" i="5"/>
  <c r="E152" i="5"/>
  <c r="L29" i="10" s="1"/>
  <c r="B116" i="8"/>
  <c r="B69" i="8"/>
  <c r="F37" i="10"/>
  <c r="P65" i="5"/>
  <c r="B21" i="8"/>
  <c r="G21" i="8" s="1"/>
  <c r="I21" i="8" s="1"/>
  <c r="F21" i="10"/>
  <c r="S240" i="5"/>
  <c r="B27" i="8"/>
  <c r="F79" i="10"/>
  <c r="B79" i="8"/>
  <c r="G79" i="8" s="1"/>
  <c r="I79" i="8" s="1"/>
  <c r="B67" i="8"/>
  <c r="P114" i="5"/>
  <c r="D71" i="8"/>
  <c r="F12" i="10"/>
  <c r="S201" i="5"/>
  <c r="P115" i="5"/>
  <c r="F59" i="10"/>
  <c r="O154" i="5"/>
  <c r="F83" i="10"/>
  <c r="F68" i="10"/>
  <c r="P113" i="5"/>
  <c r="B113" i="8"/>
  <c r="F41" i="10"/>
  <c r="B101" i="8"/>
  <c r="Q101" i="10"/>
  <c r="R101" i="10" s="1"/>
  <c r="D110" i="8"/>
  <c r="F22" i="10"/>
  <c r="S219" i="5"/>
  <c r="P95" i="5" s="1"/>
  <c r="S147" i="5"/>
  <c r="P23" i="5" s="1"/>
  <c r="S235" i="5"/>
  <c r="J194" i="5"/>
  <c r="I194" i="5" s="1"/>
  <c r="H71" i="10"/>
  <c r="P97" i="5"/>
  <c r="D31" i="8"/>
  <c r="B98" i="8"/>
  <c r="G98" i="8" s="1"/>
  <c r="I98" i="8" s="1"/>
  <c r="F98" i="10"/>
  <c r="R53" i="5"/>
  <c r="E177" i="5" s="1"/>
  <c r="L54" i="10" s="1"/>
  <c r="S225" i="5"/>
  <c r="D72" i="10"/>
  <c r="F72" i="10" s="1"/>
  <c r="B177" i="5"/>
  <c r="P99" i="5"/>
  <c r="D73" i="10"/>
  <c r="B73" i="8" s="1"/>
  <c r="G73" i="8" s="1"/>
  <c r="I73" i="8" s="1"/>
  <c r="S142" i="5"/>
  <c r="P18" i="5" s="1"/>
  <c r="E154" i="5"/>
  <c r="L31" i="10" s="1"/>
  <c r="M31" i="10" s="1"/>
  <c r="S166" i="5"/>
  <c r="P35" i="5" s="1"/>
  <c r="S159" i="5"/>
  <c r="P42" i="5" s="1"/>
  <c r="F44" i="10"/>
  <c r="B114" i="8"/>
  <c r="B64" i="8"/>
  <c r="B66" i="8"/>
  <c r="F106" i="10"/>
  <c r="B106" i="8"/>
  <c r="G106" i="8" s="1"/>
  <c r="I106" i="8" s="1"/>
  <c r="F40" i="10"/>
  <c r="P54" i="5"/>
  <c r="B55" i="8"/>
  <c r="G55" i="8" s="1"/>
  <c r="I55" i="8" s="1"/>
  <c r="F55" i="10"/>
  <c r="B71" i="10"/>
  <c r="C71" i="8" s="1"/>
  <c r="E194" i="5"/>
  <c r="L71" i="10" s="1"/>
  <c r="I71" i="10"/>
  <c r="B8" i="8"/>
  <c r="G8" i="8" s="1"/>
  <c r="I8" i="8" s="1"/>
  <c r="F8" i="10"/>
  <c r="D76" i="8"/>
  <c r="Q27" i="10"/>
  <c r="R27" i="10" s="1"/>
  <c r="B199" i="5"/>
  <c r="B76" i="10"/>
  <c r="C76" i="8" s="1"/>
  <c r="E199" i="5"/>
  <c r="L76" i="10" s="1"/>
  <c r="M76" i="10" s="1"/>
  <c r="N76" i="10" s="1"/>
  <c r="Q118" i="10"/>
  <c r="P60" i="5"/>
  <c r="P85" i="5"/>
  <c r="N175" i="5"/>
  <c r="P175" i="5"/>
  <c r="E52" i="10"/>
  <c r="F175" i="5"/>
  <c r="B61" i="8"/>
  <c r="G61" i="8" s="1"/>
  <c r="I61" i="8" s="1"/>
  <c r="F61" i="10"/>
  <c r="F86" i="10"/>
  <c r="B86" i="8"/>
  <c r="G86" i="8" s="1"/>
  <c r="E233" i="5"/>
  <c r="A233" i="5"/>
  <c r="V233" i="5" s="1"/>
  <c r="D93" i="10"/>
  <c r="P17" i="5"/>
  <c r="S137" i="5"/>
  <c r="A113" i="10"/>
  <c r="A113" i="8"/>
  <c r="Q20" i="10"/>
  <c r="D53" i="10"/>
  <c r="L215" i="5"/>
  <c r="A114" i="5"/>
  <c r="S114" i="5" s="1"/>
  <c r="A110" i="10"/>
  <c r="A110" i="8"/>
  <c r="A236" i="5"/>
  <c r="V236" i="5" s="1"/>
  <c r="A179" i="5"/>
  <c r="V179" i="5" s="1"/>
  <c r="A56" i="8"/>
  <c r="A56" i="10"/>
  <c r="A234" i="5"/>
  <c r="V234" i="5" s="1"/>
  <c r="B99" i="8"/>
  <c r="G99" i="8" s="1"/>
  <c r="I99" i="8" s="1"/>
  <c r="F99" i="10"/>
  <c r="D34" i="8"/>
  <c r="O157" i="5"/>
  <c r="O180" i="5"/>
  <c r="P98" i="5"/>
  <c r="F18" i="10"/>
  <c r="B18" i="8"/>
  <c r="G18" i="8" s="1"/>
  <c r="I18" i="8" s="1"/>
  <c r="D74" i="10"/>
  <c r="D218" i="5"/>
  <c r="L218" i="5"/>
  <c r="M218" i="5"/>
  <c r="A115" i="5"/>
  <c r="S115" i="5" s="1"/>
  <c r="A111" i="10"/>
  <c r="A111" i="8"/>
  <c r="C110" i="8"/>
  <c r="B233" i="5"/>
  <c r="Q67" i="10"/>
  <c r="R67" i="10" s="1"/>
  <c r="E157" i="5"/>
  <c r="L34" i="10" s="1"/>
  <c r="O156" i="5"/>
  <c r="D33" i="8"/>
  <c r="Q97" i="10"/>
  <c r="E180" i="5"/>
  <c r="L57" i="10" s="1"/>
  <c r="M57" i="10" s="1"/>
  <c r="N57" i="10" s="1"/>
  <c r="Q105" i="10"/>
  <c r="R105" i="10" s="1"/>
  <c r="E156" i="5"/>
  <c r="L33" i="10" s="1"/>
  <c r="E155" i="5"/>
  <c r="O155" i="5"/>
  <c r="D32" i="8"/>
  <c r="D158" i="5"/>
  <c r="L158" i="5"/>
  <c r="M158" i="5"/>
  <c r="Q113" i="10"/>
  <c r="L154" i="5"/>
  <c r="F9" i="10"/>
  <c r="B9" i="8"/>
  <c r="G9" i="8" s="1"/>
  <c r="I9" i="8" s="1"/>
  <c r="Q114" i="10"/>
  <c r="R114" i="10" s="1"/>
  <c r="P86" i="5"/>
  <c r="S208" i="5"/>
  <c r="L200" i="5"/>
  <c r="D200" i="5"/>
  <c r="M200" i="5"/>
  <c r="L180" i="5"/>
  <c r="M180" i="5"/>
  <c r="E153" i="5"/>
  <c r="L30" i="10" s="1"/>
  <c r="F87" i="10"/>
  <c r="B87" i="8"/>
  <c r="G87" i="8" s="1"/>
  <c r="I87" i="8" s="1"/>
  <c r="P64" i="5"/>
  <c r="D30" i="8"/>
  <c r="O153" i="5"/>
  <c r="Q66" i="10"/>
  <c r="Q60" i="10"/>
  <c r="R60" i="10" s="1"/>
  <c r="Q63" i="10"/>
  <c r="P8" i="5"/>
  <c r="Q64" i="10"/>
  <c r="R64" i="10" s="1"/>
  <c r="Q69" i="10"/>
  <c r="R69" i="10" s="1"/>
  <c r="Q232" i="5"/>
  <c r="D231" i="5"/>
  <c r="M231" i="5"/>
  <c r="D234" i="5" l="1"/>
  <c r="M154" i="5"/>
  <c r="Q154" i="5" s="1"/>
  <c r="U154" i="5" s="1"/>
  <c r="G83" i="10"/>
  <c r="P83" i="10"/>
  <c r="G37" i="10"/>
  <c r="Q37" i="10" s="1"/>
  <c r="P37" i="10"/>
  <c r="G80" i="10"/>
  <c r="Q80" i="10" s="1"/>
  <c r="R80" i="10" s="1"/>
  <c r="P80" i="10"/>
  <c r="O108" i="10"/>
  <c r="O91" i="10"/>
  <c r="G81" i="10"/>
  <c r="Q81" i="10" s="1"/>
  <c r="R81" i="10" s="1"/>
  <c r="P81" i="10"/>
  <c r="G18" i="10"/>
  <c r="Q18" i="10" s="1"/>
  <c r="P18" i="10"/>
  <c r="G88" i="10"/>
  <c r="P88" i="10"/>
  <c r="G86" i="10"/>
  <c r="Q86" i="10" s="1"/>
  <c r="P86" i="10"/>
  <c r="G8" i="10"/>
  <c r="Q8" i="10" s="1"/>
  <c r="R8" i="10" s="1"/>
  <c r="P8" i="10"/>
  <c r="G40" i="10"/>
  <c r="Q40" i="10" s="1"/>
  <c r="R40" i="10" s="1"/>
  <c r="P40" i="10"/>
  <c r="G72" i="10"/>
  <c r="Q72" i="10" s="1"/>
  <c r="R72" i="10" s="1"/>
  <c r="P72" i="10"/>
  <c r="G59" i="10"/>
  <c r="P59" i="10"/>
  <c r="G79" i="10"/>
  <c r="P79" i="10"/>
  <c r="G104" i="10"/>
  <c r="Q104" i="10" s="1"/>
  <c r="P104" i="10"/>
  <c r="G44" i="10"/>
  <c r="G43" i="10" s="1"/>
  <c r="P44" i="10"/>
  <c r="G87" i="10"/>
  <c r="Q87" i="10" s="1"/>
  <c r="R87" i="10" s="1"/>
  <c r="P87" i="10"/>
  <c r="G99" i="10"/>
  <c r="Q99" i="10" s="1"/>
  <c r="R99" i="10" s="1"/>
  <c r="P99" i="10"/>
  <c r="G61" i="10"/>
  <c r="Q61" i="10" s="1"/>
  <c r="R61" i="10" s="1"/>
  <c r="P61" i="10"/>
  <c r="G82" i="10"/>
  <c r="Q82" i="10" s="1"/>
  <c r="R82" i="10" s="1"/>
  <c r="P82" i="10"/>
  <c r="G106" i="10"/>
  <c r="P106" i="10"/>
  <c r="G41" i="10"/>
  <c r="P41" i="10"/>
  <c r="G119" i="10"/>
  <c r="Q119" i="10" s="1"/>
  <c r="R119" i="10" s="1"/>
  <c r="P119" i="10"/>
  <c r="G16" i="10"/>
  <c r="Q16" i="10" s="1"/>
  <c r="R16" i="10" s="1"/>
  <c r="P16" i="10"/>
  <c r="G98" i="10"/>
  <c r="P98" i="10"/>
  <c r="G12" i="10"/>
  <c r="Q12" i="10" s="1"/>
  <c r="R12" i="10" s="1"/>
  <c r="P12" i="10"/>
  <c r="G21" i="10"/>
  <c r="P21" i="10"/>
  <c r="G75" i="10"/>
  <c r="Q75" i="10" s="1"/>
  <c r="R75" i="10" s="1"/>
  <c r="P75" i="10"/>
  <c r="G38" i="10"/>
  <c r="P38" i="10"/>
  <c r="G23" i="10"/>
  <c r="Q23" i="10" s="1"/>
  <c r="R23" i="10" s="1"/>
  <c r="P23" i="10"/>
  <c r="G26" i="10"/>
  <c r="G24" i="10" s="1"/>
  <c r="P26" i="10"/>
  <c r="P24" i="10" s="1"/>
  <c r="O111" i="10"/>
  <c r="G115" i="10"/>
  <c r="G112" i="10" s="1"/>
  <c r="P115" i="10"/>
  <c r="P112" i="10" s="1"/>
  <c r="G22" i="10"/>
  <c r="Q22" i="10" s="1"/>
  <c r="R22" i="10" s="1"/>
  <c r="P22" i="10"/>
  <c r="G9" i="10"/>
  <c r="Q9" i="10" s="1"/>
  <c r="R9" i="10" s="1"/>
  <c r="P9" i="10"/>
  <c r="G55" i="10"/>
  <c r="Q55" i="10" s="1"/>
  <c r="R55" i="10" s="1"/>
  <c r="P55" i="10"/>
  <c r="G68" i="10"/>
  <c r="Q68" i="10" s="1"/>
  <c r="R68" i="10" s="1"/>
  <c r="P68" i="10"/>
  <c r="G84" i="10"/>
  <c r="P84" i="10"/>
  <c r="G121" i="10"/>
  <c r="Q121" i="10" s="1"/>
  <c r="R121" i="10" s="1"/>
  <c r="P121" i="10"/>
  <c r="Q158" i="5"/>
  <c r="U158" i="5" s="1"/>
  <c r="D215" i="5"/>
  <c r="Q215" i="5" s="1"/>
  <c r="U215" i="5" s="1"/>
  <c r="L32" i="10"/>
  <c r="M32" i="10" s="1"/>
  <c r="N32" i="10" s="1"/>
  <c r="U232" i="5"/>
  <c r="D109" i="10"/>
  <c r="F109" i="10" s="1"/>
  <c r="M234" i="5"/>
  <c r="Q234" i="5" s="1"/>
  <c r="I59" i="8"/>
  <c r="I86" i="8"/>
  <c r="O29" i="10"/>
  <c r="I80" i="8"/>
  <c r="I78" i="8" s="1"/>
  <c r="G78" i="8"/>
  <c r="L110" i="10"/>
  <c r="M110" i="10" s="1"/>
  <c r="N110" i="10" s="1"/>
  <c r="G66" i="8"/>
  <c r="G101" i="8"/>
  <c r="I101" i="8" s="1"/>
  <c r="G69" i="8"/>
  <c r="I69" i="8" s="1"/>
  <c r="G120" i="8"/>
  <c r="I120" i="8" s="1"/>
  <c r="G7" i="8"/>
  <c r="G11" i="8"/>
  <c r="I11" i="8" s="1"/>
  <c r="G64" i="8"/>
  <c r="I64" i="8" s="1"/>
  <c r="G27" i="8"/>
  <c r="I27" i="8" s="1"/>
  <c r="G116" i="8"/>
  <c r="I116" i="8" s="1"/>
  <c r="G62" i="8"/>
  <c r="I62" i="8" s="1"/>
  <c r="G97" i="8"/>
  <c r="G10" i="8"/>
  <c r="I10" i="8" s="1"/>
  <c r="G114" i="8"/>
  <c r="I114" i="8" s="1"/>
  <c r="G113" i="8"/>
  <c r="G103" i="8"/>
  <c r="I103" i="8" s="1"/>
  <c r="G20" i="8"/>
  <c r="G63" i="8"/>
  <c r="I63" i="8" s="1"/>
  <c r="G89" i="8"/>
  <c r="I89" i="8" s="1"/>
  <c r="G100" i="8"/>
  <c r="I100" i="8" s="1"/>
  <c r="G60" i="8"/>
  <c r="I60" i="8" s="1"/>
  <c r="G105" i="8"/>
  <c r="G25" i="8"/>
  <c r="G15" i="8"/>
  <c r="G67" i="8"/>
  <c r="I67" i="8" s="1"/>
  <c r="G118" i="8"/>
  <c r="M34" i="10"/>
  <c r="N34" i="10" s="1"/>
  <c r="N31" i="10"/>
  <c r="M33" i="10"/>
  <c r="N33" i="10" s="1"/>
  <c r="R15" i="10"/>
  <c r="O77" i="10"/>
  <c r="O57" i="10"/>
  <c r="O94" i="10"/>
  <c r="O95" i="10"/>
  <c r="O56" i="10"/>
  <c r="O76" i="10"/>
  <c r="M217" i="5"/>
  <c r="D217" i="5"/>
  <c r="D214" i="5"/>
  <c r="L214" i="5"/>
  <c r="L179" i="5"/>
  <c r="S232" i="5"/>
  <c r="P108" i="5" s="1"/>
  <c r="Q38" i="10"/>
  <c r="R38" i="10" s="1"/>
  <c r="Q84" i="10"/>
  <c r="R84" i="10" s="1"/>
  <c r="M152" i="5"/>
  <c r="R66" i="10"/>
  <c r="R25" i="10"/>
  <c r="R113" i="10"/>
  <c r="Q59" i="10"/>
  <c r="G58" i="10"/>
  <c r="R97" i="10"/>
  <c r="R20" i="10"/>
  <c r="R118" i="10"/>
  <c r="L152" i="5"/>
  <c r="B75" i="8"/>
  <c r="Q83" i="10"/>
  <c r="P77" i="5"/>
  <c r="P116" i="5"/>
  <c r="P65" i="10"/>
  <c r="P111" i="5"/>
  <c r="D155" i="5"/>
  <c r="L155" i="5"/>
  <c r="J71" i="10"/>
  <c r="F73" i="10"/>
  <c r="Q98" i="10"/>
  <c r="R98" i="10" s="1"/>
  <c r="B72" i="8"/>
  <c r="M177" i="5"/>
  <c r="L177" i="5"/>
  <c r="P101" i="5"/>
  <c r="R63" i="10"/>
  <c r="Q106" i="10"/>
  <c r="M194" i="5"/>
  <c r="L194" i="5"/>
  <c r="D52" i="8"/>
  <c r="O175" i="5"/>
  <c r="Q200" i="5"/>
  <c r="U200" i="5" s="1"/>
  <c r="G175" i="5"/>
  <c r="I52" i="10"/>
  <c r="D199" i="5"/>
  <c r="L199" i="5"/>
  <c r="M199" i="5"/>
  <c r="B52" i="10"/>
  <c r="C52" i="8" s="1"/>
  <c r="R51" i="5"/>
  <c r="E175" i="5" s="1"/>
  <c r="L52" i="10" s="1"/>
  <c r="B175" i="5"/>
  <c r="J175" i="5"/>
  <c r="I175" i="5" s="1"/>
  <c r="H52" i="10"/>
  <c r="Q180" i="5"/>
  <c r="U180" i="5" s="1"/>
  <c r="A116" i="8"/>
  <c r="A116" i="10"/>
  <c r="A120" i="5"/>
  <c r="S120" i="5" s="1"/>
  <c r="B53" i="8"/>
  <c r="G53" i="8" s="1"/>
  <c r="I53" i="8" s="1"/>
  <c r="F53" i="10"/>
  <c r="P13" i="5"/>
  <c r="A239" i="5"/>
  <c r="V239" i="5" s="1"/>
  <c r="P92" i="5"/>
  <c r="B74" i="8"/>
  <c r="G74" i="8" s="1"/>
  <c r="I74" i="8" s="1"/>
  <c r="F74" i="10"/>
  <c r="P73" i="5"/>
  <c r="P52" i="5"/>
  <c r="F93" i="10"/>
  <c r="B93" i="8"/>
  <c r="G93" i="8" s="1"/>
  <c r="I93" i="8" s="1"/>
  <c r="M233" i="5"/>
  <c r="D233" i="5"/>
  <c r="L233" i="5"/>
  <c r="A119" i="5"/>
  <c r="S119" i="5" s="1"/>
  <c r="A115" i="10"/>
  <c r="A115" i="8"/>
  <c r="A241" i="5"/>
  <c r="V241" i="5" s="1"/>
  <c r="Q218" i="5"/>
  <c r="U218" i="5" s="1"/>
  <c r="L157" i="5"/>
  <c r="D157" i="5"/>
  <c r="M157" i="5"/>
  <c r="A238" i="5"/>
  <c r="V238" i="5" s="1"/>
  <c r="L156" i="5"/>
  <c r="D156" i="5"/>
  <c r="M156" i="5"/>
  <c r="D153" i="5"/>
  <c r="L153" i="5"/>
  <c r="M153" i="5"/>
  <c r="P5" i="5"/>
  <c r="P84" i="5"/>
  <c r="Q231" i="5"/>
  <c r="G85" i="10" l="1"/>
  <c r="Q88" i="10"/>
  <c r="R88" i="10" s="1"/>
  <c r="G14" i="10"/>
  <c r="G96" i="10"/>
  <c r="Q115" i="10"/>
  <c r="R115" i="10" s="1"/>
  <c r="R112" i="10" s="1"/>
  <c r="G36" i="10"/>
  <c r="G78" i="10"/>
  <c r="Q152" i="5"/>
  <c r="U152" i="5" s="1"/>
  <c r="Q79" i="10"/>
  <c r="Q78" i="10" s="1"/>
  <c r="G102" i="10"/>
  <c r="G19" i="10"/>
  <c r="Q14" i="10"/>
  <c r="Q41" i="10"/>
  <c r="Q36" i="10" s="1"/>
  <c r="Q155" i="5"/>
  <c r="U155" i="5" s="1"/>
  <c r="G74" i="10"/>
  <c r="P74" i="10"/>
  <c r="Q21" i="10"/>
  <c r="R21" i="10" s="1"/>
  <c r="R19" i="10" s="1"/>
  <c r="G6" i="10"/>
  <c r="Q65" i="10"/>
  <c r="Q157" i="5"/>
  <c r="S157" i="5" s="1"/>
  <c r="O33" i="10"/>
  <c r="Q26" i="10"/>
  <c r="R26" i="10" s="1"/>
  <c r="R24" i="10" s="1"/>
  <c r="G93" i="10"/>
  <c r="Q93" i="10" s="1"/>
  <c r="R93" i="10" s="1"/>
  <c r="P93" i="10"/>
  <c r="G53" i="10"/>
  <c r="Q53" i="10" s="1"/>
  <c r="R53" i="10" s="1"/>
  <c r="P53" i="10"/>
  <c r="Q44" i="10"/>
  <c r="Q43" i="10" s="1"/>
  <c r="G65" i="10"/>
  <c r="G117" i="10"/>
  <c r="O31" i="10"/>
  <c r="G73" i="10"/>
  <c r="Q73" i="10" s="1"/>
  <c r="R73" i="10" s="1"/>
  <c r="P73" i="10"/>
  <c r="R117" i="10"/>
  <c r="O34" i="10"/>
  <c r="G109" i="10"/>
  <c r="Q109" i="10" s="1"/>
  <c r="R109" i="10" s="1"/>
  <c r="P109" i="10"/>
  <c r="O110" i="10"/>
  <c r="O32" i="10"/>
  <c r="Q153" i="5"/>
  <c r="D30" i="10" s="1"/>
  <c r="Q156" i="5"/>
  <c r="S156" i="5" s="1"/>
  <c r="I58" i="8"/>
  <c r="I85" i="8"/>
  <c r="D31" i="10"/>
  <c r="F31" i="10" s="1"/>
  <c r="G31" i="10" s="1"/>
  <c r="S154" i="5"/>
  <c r="P30" i="5" s="1"/>
  <c r="Q117" i="10"/>
  <c r="S158" i="5"/>
  <c r="P34" i="5" s="1"/>
  <c r="D35" i="10"/>
  <c r="U231" i="5"/>
  <c r="D108" i="10"/>
  <c r="F108" i="10" s="1"/>
  <c r="U234" i="5"/>
  <c r="D111" i="10"/>
  <c r="P58" i="10"/>
  <c r="I97" i="8"/>
  <c r="I96" i="8" s="1"/>
  <c r="G96" i="8"/>
  <c r="P102" i="10"/>
  <c r="P78" i="10"/>
  <c r="I118" i="8"/>
  <c r="I117" i="8" s="1"/>
  <c r="G117" i="8"/>
  <c r="I66" i="8"/>
  <c r="I65" i="8" s="1"/>
  <c r="G65" i="8"/>
  <c r="G85" i="8"/>
  <c r="I20" i="8"/>
  <c r="I19" i="8" s="1"/>
  <c r="G19" i="8"/>
  <c r="N71" i="10"/>
  <c r="I15" i="8"/>
  <c r="I14" i="8" s="1"/>
  <c r="G14" i="8"/>
  <c r="G58" i="8"/>
  <c r="I25" i="8"/>
  <c r="I24" i="8" s="1"/>
  <c r="G24" i="8"/>
  <c r="I113" i="8"/>
  <c r="I112" i="8" s="1"/>
  <c r="G112" i="8"/>
  <c r="I105" i="8"/>
  <c r="I102" i="8" s="1"/>
  <c r="G102" i="8"/>
  <c r="I7" i="8"/>
  <c r="G6" i="8"/>
  <c r="G72" i="8"/>
  <c r="I72" i="8" s="1"/>
  <c r="G75" i="8"/>
  <c r="I75" i="8" s="1"/>
  <c r="P117" i="10"/>
  <c r="P96" i="10"/>
  <c r="Q58" i="10"/>
  <c r="R6" i="10"/>
  <c r="R96" i="10"/>
  <c r="R104" i="10"/>
  <c r="Q102" i="10"/>
  <c r="Q85" i="10"/>
  <c r="P85" i="10"/>
  <c r="R37" i="10"/>
  <c r="R65" i="10"/>
  <c r="Q96" i="10"/>
  <c r="Q214" i="5"/>
  <c r="U214" i="5" s="1"/>
  <c r="S180" i="5"/>
  <c r="P56" i="5" s="1"/>
  <c r="S215" i="5"/>
  <c r="P91" i="5" s="1"/>
  <c r="S218" i="5"/>
  <c r="S234" i="5"/>
  <c r="Q217" i="5"/>
  <c r="U217" i="5" s="1"/>
  <c r="Q179" i="5"/>
  <c r="U179" i="5" s="1"/>
  <c r="B109" i="8"/>
  <c r="S231" i="5"/>
  <c r="S200" i="5"/>
  <c r="P76" i="5" s="1"/>
  <c r="P14" i="10"/>
  <c r="R59" i="10"/>
  <c r="R58" i="10" s="1"/>
  <c r="R106" i="10"/>
  <c r="R18" i="10"/>
  <c r="R14" i="10" s="1"/>
  <c r="R86" i="10"/>
  <c r="R85" i="10" s="1"/>
  <c r="R41" i="10"/>
  <c r="R83" i="10"/>
  <c r="D77" i="10"/>
  <c r="F77" i="10" s="1"/>
  <c r="P36" i="10"/>
  <c r="P19" i="10"/>
  <c r="Q177" i="5"/>
  <c r="U177" i="5" s="1"/>
  <c r="D57" i="10"/>
  <c r="B57" i="8" s="1"/>
  <c r="G57" i="8" s="1"/>
  <c r="I57" i="8" s="1"/>
  <c r="P43" i="10"/>
  <c r="P6" i="10"/>
  <c r="Q6" i="10"/>
  <c r="Q194" i="5"/>
  <c r="U194" i="5" s="1"/>
  <c r="M175" i="5"/>
  <c r="L175" i="5"/>
  <c r="J52" i="10"/>
  <c r="D92" i="10"/>
  <c r="B92" i="8" s="1"/>
  <c r="G92" i="8" s="1"/>
  <c r="I92" i="8" s="1"/>
  <c r="Q199" i="5"/>
  <c r="U199" i="5" s="1"/>
  <c r="Q74" i="10"/>
  <c r="R74" i="10" s="1"/>
  <c r="Q233" i="5"/>
  <c r="D95" i="10"/>
  <c r="A120" i="8"/>
  <c r="A120" i="10"/>
  <c r="A121" i="10"/>
  <c r="A121" i="8"/>
  <c r="A243" i="5"/>
  <c r="V243" i="5" s="1"/>
  <c r="A244" i="5"/>
  <c r="V244" i="5" s="1"/>
  <c r="Q24" i="10" l="1"/>
  <c r="R44" i="10"/>
  <c r="R43" i="10" s="1"/>
  <c r="Q112" i="10"/>
  <c r="R79" i="10"/>
  <c r="R78" i="10" s="1"/>
  <c r="Q19" i="10"/>
  <c r="D34" i="10"/>
  <c r="F34" i="10" s="1"/>
  <c r="D33" i="10"/>
  <c r="F33" i="10" s="1"/>
  <c r="D29" i="10"/>
  <c r="F29" i="10" s="1"/>
  <c r="P29" i="10" s="1"/>
  <c r="S152" i="5"/>
  <c r="P28" i="5" s="1"/>
  <c r="U157" i="5"/>
  <c r="U156" i="5"/>
  <c r="S155" i="5"/>
  <c r="P31" i="5" s="1"/>
  <c r="D32" i="10"/>
  <c r="B32" i="8" s="1"/>
  <c r="G108" i="10"/>
  <c r="Q108" i="10" s="1"/>
  <c r="P108" i="10"/>
  <c r="G77" i="10"/>
  <c r="Q77" i="10" s="1"/>
  <c r="R77" i="10" s="1"/>
  <c r="P77" i="10"/>
  <c r="O71" i="10"/>
  <c r="P31" i="10"/>
  <c r="S153" i="5"/>
  <c r="P29" i="5" s="1"/>
  <c r="U233" i="5"/>
  <c r="D110" i="10"/>
  <c r="N52" i="10"/>
  <c r="G109" i="8"/>
  <c r="I109" i="8" s="1"/>
  <c r="R36" i="10"/>
  <c r="R102" i="10"/>
  <c r="S199" i="5"/>
  <c r="P75" i="5" s="1"/>
  <c r="S214" i="5"/>
  <c r="P90" i="5" s="1"/>
  <c r="D91" i="10"/>
  <c r="B91" i="8" s="1"/>
  <c r="S179" i="5"/>
  <c r="P55" i="5" s="1"/>
  <c r="S217" i="5"/>
  <c r="P93" i="5" s="1"/>
  <c r="S194" i="5"/>
  <c r="U153" i="5"/>
  <c r="D94" i="10"/>
  <c r="F94" i="10" s="1"/>
  <c r="Q213" i="5"/>
  <c r="D56" i="10"/>
  <c r="B56" i="8" s="1"/>
  <c r="P32" i="5"/>
  <c r="S177" i="5"/>
  <c r="Q230" i="5"/>
  <c r="S233" i="5"/>
  <c r="P33" i="5"/>
  <c r="B77" i="8"/>
  <c r="D54" i="10"/>
  <c r="Q151" i="5"/>
  <c r="F57" i="10"/>
  <c r="Q175" i="5"/>
  <c r="U175" i="5" s="1"/>
  <c r="F92" i="10"/>
  <c r="D71" i="10"/>
  <c r="F71" i="10" s="1"/>
  <c r="P71" i="10" s="1"/>
  <c r="D76" i="10"/>
  <c r="Q193" i="5"/>
  <c r="B30" i="8"/>
  <c r="G30" i="8" s="1"/>
  <c r="I30" i="8" s="1"/>
  <c r="F111" i="10"/>
  <c r="B111" i="8"/>
  <c r="G111" i="8" s="1"/>
  <c r="I111" i="8" s="1"/>
  <c r="P110" i="5"/>
  <c r="P94" i="5"/>
  <c r="B31" i="8"/>
  <c r="B95" i="8"/>
  <c r="G95" i="8" s="1"/>
  <c r="I95" i="8" s="1"/>
  <c r="F95" i="10"/>
  <c r="B35" i="8"/>
  <c r="G35" i="8" s="1"/>
  <c r="F35" i="10"/>
  <c r="B108" i="8"/>
  <c r="Q31" i="10"/>
  <c r="R31" i="10" s="1"/>
  <c r="P107" i="5"/>
  <c r="G57" i="10" l="1"/>
  <c r="Q57" i="10" s="1"/>
  <c r="R57" i="10" s="1"/>
  <c r="P57" i="10"/>
  <c r="G35" i="10"/>
  <c r="Q35" i="10" s="1"/>
  <c r="R35" i="10" s="1"/>
  <c r="P35" i="10"/>
  <c r="G111" i="10"/>
  <c r="P111" i="10"/>
  <c r="G34" i="10"/>
  <c r="Q34" i="10" s="1"/>
  <c r="R34" i="10" s="1"/>
  <c r="P34" i="10"/>
  <c r="G95" i="10"/>
  <c r="Q95" i="10" s="1"/>
  <c r="R95" i="10" s="1"/>
  <c r="P95" i="10"/>
  <c r="O52" i="10"/>
  <c r="G92" i="10"/>
  <c r="Q92" i="10" s="1"/>
  <c r="R92" i="10" s="1"/>
  <c r="P92" i="10"/>
  <c r="G94" i="10"/>
  <c r="Q94" i="10" s="1"/>
  <c r="R94" i="10" s="1"/>
  <c r="P94" i="10"/>
  <c r="G33" i="10"/>
  <c r="Q33" i="10" s="1"/>
  <c r="R33" i="10" s="1"/>
  <c r="P33" i="10"/>
  <c r="I35" i="8"/>
  <c r="G56" i="8"/>
  <c r="I56" i="8" s="1"/>
  <c r="G91" i="8"/>
  <c r="I91" i="8" s="1"/>
  <c r="G77" i="8"/>
  <c r="I77" i="8" s="1"/>
  <c r="G32" i="8"/>
  <c r="I32" i="8" s="1"/>
  <c r="G108" i="8"/>
  <c r="G31" i="8"/>
  <c r="I31" i="8" s="1"/>
  <c r="F91" i="10"/>
  <c r="S213" i="5"/>
  <c r="P89" i="5" s="1"/>
  <c r="B94" i="8"/>
  <c r="F56" i="10"/>
  <c r="B34" i="8"/>
  <c r="B33" i="8"/>
  <c r="Q174" i="5"/>
  <c r="S175" i="5"/>
  <c r="B29" i="8"/>
  <c r="G29" i="8" s="1"/>
  <c r="I29" i="8" s="1"/>
  <c r="G29" i="10"/>
  <c r="R108" i="10"/>
  <c r="F32" i="10"/>
  <c r="B54" i="8"/>
  <c r="G54" i="8" s="1"/>
  <c r="I54" i="8" s="1"/>
  <c r="F54" i="10"/>
  <c r="P53" i="5"/>
  <c r="D52" i="10"/>
  <c r="B52" i="8" s="1"/>
  <c r="G52" i="8" s="1"/>
  <c r="F30" i="10"/>
  <c r="I6" i="8"/>
  <c r="P70" i="5"/>
  <c r="S151" i="5"/>
  <c r="P27" i="5" s="1"/>
  <c r="B71" i="8"/>
  <c r="G71" i="8" s="1"/>
  <c r="I71" i="8" s="1"/>
  <c r="G71" i="10"/>
  <c r="S193" i="5"/>
  <c r="Q111" i="10"/>
  <c r="R111" i="10" s="1"/>
  <c r="B76" i="8"/>
  <c r="G76" i="8" s="1"/>
  <c r="F76" i="10"/>
  <c r="S230" i="5"/>
  <c r="P106" i="5" s="1"/>
  <c r="P109" i="5"/>
  <c r="B110" i="8"/>
  <c r="G110" i="8" s="1"/>
  <c r="I110" i="8" s="1"/>
  <c r="F110" i="10"/>
  <c r="P110" i="10" s="1"/>
  <c r="G91" i="10" l="1"/>
  <c r="Q91" i="10" s="1"/>
  <c r="Q90" i="10" s="1"/>
  <c r="P91" i="10"/>
  <c r="P90" i="10" s="1"/>
  <c r="G54" i="10"/>
  <c r="P54" i="10"/>
  <c r="G32" i="10"/>
  <c r="Q32" i="10" s="1"/>
  <c r="R32" i="10" s="1"/>
  <c r="P32" i="10"/>
  <c r="G56" i="10"/>
  <c r="Q56" i="10" s="1"/>
  <c r="R56" i="10" s="1"/>
  <c r="P56" i="10"/>
  <c r="G76" i="10"/>
  <c r="G70" i="10" s="1"/>
  <c r="P76" i="10"/>
  <c r="G30" i="10"/>
  <c r="Q30" i="10" s="1"/>
  <c r="P30" i="10"/>
  <c r="I52" i="8"/>
  <c r="I51" i="8" s="1"/>
  <c r="G51" i="8"/>
  <c r="I76" i="8"/>
  <c r="I70" i="8" s="1"/>
  <c r="G70" i="8"/>
  <c r="G110" i="10"/>
  <c r="P107" i="10" s="1"/>
  <c r="I108" i="8"/>
  <c r="I107" i="8" s="1"/>
  <c r="G107" i="8"/>
  <c r="G94" i="8"/>
  <c r="G34" i="8"/>
  <c r="I34" i="8" s="1"/>
  <c r="G33" i="8"/>
  <c r="I33" i="8" s="1"/>
  <c r="Q29" i="10"/>
  <c r="Q54" i="10"/>
  <c r="R54" i="10" s="1"/>
  <c r="P51" i="5"/>
  <c r="S174" i="5"/>
  <c r="F52" i="10"/>
  <c r="Q71" i="10"/>
  <c r="P69" i="5"/>
  <c r="G28" i="10" l="1"/>
  <c r="G90" i="10"/>
  <c r="Q76" i="10"/>
  <c r="R76" i="10" s="1"/>
  <c r="G52" i="10"/>
  <c r="G51" i="10" s="1"/>
  <c r="P52" i="10"/>
  <c r="I28" i="8"/>
  <c r="Q110" i="10"/>
  <c r="Q107" i="10" s="1"/>
  <c r="R91" i="10"/>
  <c r="R90" i="10" s="1"/>
  <c r="G28" i="8"/>
  <c r="G107" i="10"/>
  <c r="I94" i="8"/>
  <c r="I90" i="8" s="1"/>
  <c r="G90" i="8"/>
  <c r="R29" i="10"/>
  <c r="Q28" i="10"/>
  <c r="P70" i="10"/>
  <c r="P28" i="10"/>
  <c r="R30" i="10"/>
  <c r="R71" i="10"/>
  <c r="R70" i="10" s="1"/>
  <c r="P50" i="5"/>
  <c r="Q52" i="10" l="1"/>
  <c r="Q51" i="10" s="1"/>
  <c r="Q70" i="10"/>
  <c r="R110" i="10"/>
  <c r="R107" i="10" s="1"/>
  <c r="R28" i="10"/>
  <c r="P51" i="10"/>
  <c r="R52" i="10"/>
  <c r="R5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</author>
    <author>Olga Gavrilova</author>
  </authors>
  <commentList>
    <comment ref="R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may refers to weight related to stage of growth</t>
        </r>
      </text>
    </comment>
    <comment ref="D5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Ca was calculated as weighted-average
The information will be reflected in a footnote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Ca was calculated as weighted-average
The information will be reflected in a footnote</t>
        </r>
      </text>
    </comment>
    <comment ref="H108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Olga Gavrilova: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weighted-average was applied: Add footnote in Table</t>
        </r>
      </text>
    </comment>
  </commentList>
</comments>
</file>

<file path=xl/sharedStrings.xml><?xml version="1.0" encoding="utf-8"?>
<sst xmlns="http://schemas.openxmlformats.org/spreadsheetml/2006/main" count="268" uniqueCount="123">
  <si>
    <t>Type</t>
  </si>
  <si>
    <t>Feeding Situation</t>
  </si>
  <si>
    <t>Work</t>
  </si>
  <si>
    <t>Digestibility of Feed %</t>
  </si>
  <si>
    <t>Day Weighted Population Mix %</t>
  </si>
  <si>
    <t>Mature Females</t>
  </si>
  <si>
    <t>Pasture/Range</t>
  </si>
  <si>
    <t>Mature Males</t>
  </si>
  <si>
    <t>Calves on milk</t>
  </si>
  <si>
    <t>Calves on forage</t>
  </si>
  <si>
    <t>Growing heifers/steers</t>
  </si>
  <si>
    <t>Replacement/growing</t>
  </si>
  <si>
    <t>Feedlot cattle</t>
  </si>
  <si>
    <t>Stall Fed</t>
  </si>
  <si>
    <t>Western Europe</t>
  </si>
  <si>
    <t>Young</t>
  </si>
  <si>
    <t xml:space="preserve"> Mature Females</t>
  </si>
  <si>
    <t>Large Areas</t>
  </si>
  <si>
    <t xml:space="preserve"> Mature Males</t>
  </si>
  <si>
    <t xml:space="preserve"> Mature Females-Farming</t>
  </si>
  <si>
    <t xml:space="preserve"> Mature Females-Grazing</t>
  </si>
  <si>
    <t xml:space="preserve"> Mature Males-Farming</t>
  </si>
  <si>
    <t xml:space="preserve"> Mature Males-Grazing</t>
  </si>
  <si>
    <t>Africa</t>
  </si>
  <si>
    <t xml:space="preserve"> Draft Bullocks</t>
  </si>
  <si>
    <t xml:space="preserve"> Bulls - Grazing</t>
  </si>
  <si>
    <t>Maintenance</t>
  </si>
  <si>
    <t>Growth</t>
  </si>
  <si>
    <t>Lactation</t>
  </si>
  <si>
    <t>Draft Power</t>
  </si>
  <si>
    <t>Pregnancy</t>
  </si>
  <si>
    <t>GE, MJ/day</t>
  </si>
  <si>
    <t>EF, kg/hd/yr</t>
  </si>
  <si>
    <t>DM Intake as</t>
  </si>
  <si>
    <t>% Weight</t>
  </si>
  <si>
    <t>Energy content of methane is</t>
  </si>
  <si>
    <t>MJ/kg</t>
  </si>
  <si>
    <t>Energy content of feed is</t>
  </si>
  <si>
    <t>REG</t>
  </si>
  <si>
    <t>REM</t>
  </si>
  <si>
    <t>Net Energy Requirements for Non-Dairy Cattle (MJ/day)</t>
  </si>
  <si>
    <t>Cf</t>
  </si>
  <si>
    <t>GE, MJ/day/hd</t>
  </si>
  <si>
    <t>CP,%</t>
  </si>
  <si>
    <t>Milk PR%</t>
  </si>
  <si>
    <t>N retention, kgN/d/hd</t>
  </si>
  <si>
    <t>CP, %</t>
  </si>
  <si>
    <t>North America</t>
  </si>
  <si>
    <t>Eastern Europe</t>
  </si>
  <si>
    <t>Oceania</t>
  </si>
  <si>
    <t>Latin America</t>
  </si>
  <si>
    <t>Asia</t>
  </si>
  <si>
    <t>Indian Subcontinent</t>
  </si>
  <si>
    <t>Stall fed</t>
  </si>
  <si>
    <t>Middle East</t>
  </si>
  <si>
    <t>DE,%</t>
  </si>
  <si>
    <t>ASH</t>
  </si>
  <si>
    <t>UE</t>
  </si>
  <si>
    <t>Nintake, kg N/day/hd</t>
  </si>
  <si>
    <t>Weight gain, kg/hd/day</t>
  </si>
  <si>
    <t>Neg, MJ/day</t>
  </si>
  <si>
    <t>Weight, kg</t>
  </si>
  <si>
    <t>Growing/Replacement</t>
  </si>
  <si>
    <t>Milk fat,%</t>
  </si>
  <si>
    <t>Milk protein, %</t>
  </si>
  <si>
    <t>Draft bullocks</t>
  </si>
  <si>
    <t>Mature Females - grazing</t>
  </si>
  <si>
    <t>Mature Males - grazing</t>
  </si>
  <si>
    <t xml:space="preserve">Feedlot cattle </t>
  </si>
  <si>
    <t>VS, kg/hd/day</t>
  </si>
  <si>
    <t>VS per 1000 kg animal mass-1</t>
  </si>
  <si>
    <t>Nex kg/hd/yr</t>
  </si>
  <si>
    <t>Latin America_high productivity systems</t>
  </si>
  <si>
    <t>Latin America_low productivity systems</t>
  </si>
  <si>
    <t>Asia_low productivity systems</t>
  </si>
  <si>
    <t>Asia_high productivity systems</t>
  </si>
  <si>
    <t>Africa_low productivity systems</t>
  </si>
  <si>
    <t>Africa_high productivity systems</t>
  </si>
  <si>
    <t>India_low productivity systems</t>
  </si>
  <si>
    <t>India_high productivity systems</t>
  </si>
  <si>
    <t>Middle East_low productivity systems</t>
  </si>
  <si>
    <t>Middle East_high productivity systems</t>
  </si>
  <si>
    <t>Weight Gain, kg/day</t>
  </si>
  <si>
    <t>Milk, kg/day</t>
  </si>
  <si>
    <t>Work, hrs/day</t>
  </si>
  <si>
    <t>Pregnant, %</t>
  </si>
  <si>
    <t>CH4 Conversion (Ym), %</t>
  </si>
  <si>
    <t>Emission Factors, CH4kg/head/yr</t>
  </si>
  <si>
    <t>Day Weighted Population Mix % (for low- and high productivity systems)</t>
  </si>
  <si>
    <t>Eq 10.3</t>
  </si>
  <si>
    <t>Table 10.4</t>
  </si>
  <si>
    <t>Activity</t>
  </si>
  <si>
    <t>Eq 10.4</t>
  </si>
  <si>
    <t>Eq 10.6</t>
  </si>
  <si>
    <t>Eq 10.8</t>
  </si>
  <si>
    <t>Eq 10.11</t>
  </si>
  <si>
    <t>Eq 10.13</t>
  </si>
  <si>
    <t>Eq 10.14</t>
  </si>
  <si>
    <t>Eq 10.15</t>
  </si>
  <si>
    <t xml:space="preserve">Eq 10.16 </t>
  </si>
  <si>
    <t>Eq 10.21</t>
  </si>
  <si>
    <t>Eq 10.32</t>
  </si>
  <si>
    <t>Nintake, kgN/head/yr</t>
  </si>
  <si>
    <t>Milk, kg/hd/day</t>
  </si>
  <si>
    <t>Eq 10.33</t>
  </si>
  <si>
    <t>N retention, kg/hd/yr</t>
  </si>
  <si>
    <t>kg N(1000 kg animal mass-1) day-1</t>
  </si>
  <si>
    <t>Retention_frac</t>
  </si>
  <si>
    <t>N retention due to growth, kgN/day/hd</t>
  </si>
  <si>
    <t>Eq  10.33</t>
  </si>
  <si>
    <t>Intake - Retention</t>
  </si>
  <si>
    <t>from enteric section</t>
  </si>
  <si>
    <t>Eq 10.24</t>
  </si>
  <si>
    <t>% of 100% for each sub-category (for low- and high productivity)</t>
  </si>
  <si>
    <t xml:space="preserve">Data for estimating Tier 1 and Tier 1a Enteric Fermentation Emission Factors, Volatile solid excretion rates and Nitrogen excretion factors for Non-Dairy Cattle </t>
  </si>
  <si>
    <t xml:space="preserve">(kg N retained/animal/day) (kg N intake/animal/day)-1 </t>
  </si>
  <si>
    <t>Eq 10.30</t>
  </si>
  <si>
    <t>from  enteric section</t>
  </si>
  <si>
    <t>N retention due to milk and growth, kgN/day/hd</t>
  </si>
  <si>
    <t xml:space="preserve">Data for estimating Tier 1 and Tier 1a Volatile solid excretion rates for Non-Dairy Cattle </t>
  </si>
  <si>
    <t xml:space="preserve">Data for estimating Tier 1 and Tier 1a Nitrogen excretion rates and Nretention fractions for Non-Dairy Cattle </t>
  </si>
  <si>
    <t>Mature Weight</t>
  </si>
  <si>
    <r>
      <t>Coef</t>
    </r>
    <r>
      <rPr>
        <sz val="10"/>
        <rFont val="Arial"/>
        <family val="2"/>
      </rPr>
      <t>f</t>
    </r>
    <r>
      <rPr>
        <sz val="10"/>
        <rFont val="Arial"/>
        <family val="2"/>
        <charset val="204"/>
      </rPr>
      <t>icient related to Growth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</si>
</sst>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_(* #,##0.0_);_(* \(#,##0.0\);_(* &quot;-&quot;??_);_(@_)"/>
    <numFmt numFmtId="169" formatCode="_(* #,##0.000_);_(* \(#,##0.000\);_(* &quot;-&quot;??_);_(@_)"/>
    <numFmt numFmtId="170" formatCode="_(* #,##0.0000_);_(* \(#,##0.0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</font>
    <font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1" fontId="1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1" fontId="5" fillId="0" borderId="0" xfId="0" applyNumberFormat="1" applyFont="1"/>
    <xf numFmtId="2" fontId="5" fillId="0" borderId="0" xfId="0" applyNumberFormat="1" applyFont="1"/>
    <xf numFmtId="0" fontId="6" fillId="0" borderId="0" xfId="0" applyFont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167" fontId="5" fillId="0" borderId="8" xfId="0" applyNumberFormat="1" applyFont="1" applyBorder="1" applyAlignment="1">
      <alignment horizontal="center" vertical="top" wrapText="1"/>
    </xf>
    <xf numFmtId="9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 wrapText="1"/>
    </xf>
    <xf numFmtId="164" fontId="5" fillId="0" borderId="8" xfId="1" applyFont="1" applyFill="1" applyBorder="1" applyAlignment="1">
      <alignment horizontal="center" vertical="top" wrapText="1"/>
    </xf>
    <xf numFmtId="168" fontId="5" fillId="0" borderId="8" xfId="1" applyNumberFormat="1" applyFont="1" applyFill="1" applyBorder="1" applyAlignment="1">
      <alignment horizontal="center" vertical="top" wrapText="1"/>
    </xf>
    <xf numFmtId="9" fontId="5" fillId="0" borderId="8" xfId="2" applyFont="1" applyBorder="1" applyAlignment="1">
      <alignment horizontal="center" vertical="top" wrapText="1"/>
    </xf>
    <xf numFmtId="164" fontId="5" fillId="0" borderId="8" xfId="1" applyFont="1" applyBorder="1" applyAlignment="1">
      <alignment horizontal="center" vertical="top" wrapText="1"/>
    </xf>
    <xf numFmtId="168" fontId="5" fillId="0" borderId="8" xfId="1" applyNumberFormat="1" applyFont="1" applyBorder="1" applyAlignment="1">
      <alignment horizontal="center" vertical="top" wrapText="1"/>
    </xf>
    <xf numFmtId="10" fontId="5" fillId="0" borderId="8" xfId="0" applyNumberFormat="1" applyFont="1" applyBorder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37" fontId="5" fillId="0" borderId="8" xfId="1" applyNumberFormat="1" applyFont="1" applyBorder="1" applyAlignment="1">
      <alignment horizontal="center" vertical="top" wrapText="1"/>
    </xf>
    <xf numFmtId="167" fontId="5" fillId="0" borderId="8" xfId="0" applyNumberFormat="1" applyFont="1" applyBorder="1" applyAlignment="1">
      <alignment horizontal="center" vertical="top"/>
    </xf>
    <xf numFmtId="9" fontId="5" fillId="0" borderId="8" xfId="2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9" fontId="5" fillId="0" borderId="0" xfId="2" applyFont="1" applyFill="1" applyBorder="1" applyAlignment="1">
      <alignment horizontal="center" vertical="top" wrapText="1"/>
    </xf>
    <xf numFmtId="166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9" fontId="5" fillId="0" borderId="8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5" fontId="5" fillId="0" borderId="8" xfId="2" applyNumberFormat="1" applyFont="1" applyFill="1" applyBorder="1" applyAlignment="1">
      <alignment horizontal="center"/>
    </xf>
    <xf numFmtId="165" fontId="5" fillId="0" borderId="8" xfId="0" applyNumberFormat="1" applyFont="1" applyBorder="1"/>
    <xf numFmtId="165" fontId="5" fillId="0" borderId="8" xfId="2" applyNumberFormat="1" applyFont="1" applyFill="1" applyBorder="1" applyAlignment="1">
      <alignment horizontal="center" vertical="top" wrapText="1"/>
    </xf>
    <xf numFmtId="165" fontId="5" fillId="0" borderId="8" xfId="2" applyNumberFormat="1" applyFont="1" applyBorder="1" applyAlignment="1">
      <alignment horizontal="center" vertical="top" wrapText="1"/>
    </xf>
    <xf numFmtId="9" fontId="5" fillId="0" borderId="0" xfId="0" applyNumberFormat="1" applyFont="1"/>
    <xf numFmtId="0" fontId="5" fillId="5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9" fontId="1" fillId="0" borderId="8" xfId="0" applyNumberFormat="1" applyFont="1" applyBorder="1" applyAlignment="1">
      <alignment horizontal="center" vertical="top" wrapText="1"/>
    </xf>
    <xf numFmtId="9" fontId="1" fillId="0" borderId="8" xfId="0" applyNumberFormat="1" applyFont="1" applyBorder="1" applyAlignment="1">
      <alignment horizontal="center"/>
    </xf>
    <xf numFmtId="9" fontId="1" fillId="0" borderId="8" xfId="2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/>
    </xf>
    <xf numFmtId="166" fontId="1" fillId="0" borderId="8" xfId="0" applyNumberFormat="1" applyFont="1" applyBorder="1" applyAlignment="1">
      <alignment horizontal="center" vertical="top" wrapText="1"/>
    </xf>
    <xf numFmtId="169" fontId="1" fillId="0" borderId="8" xfId="1" applyNumberFormat="1" applyFont="1" applyBorder="1" applyAlignment="1">
      <alignment horizontal="center" vertical="top" wrapText="1"/>
    </xf>
    <xf numFmtId="169" fontId="1" fillId="0" borderId="8" xfId="1" applyNumberFormat="1" applyFont="1" applyBorder="1" applyAlignment="1">
      <alignment horizontal="center" vertical="top"/>
    </xf>
    <xf numFmtId="169" fontId="1" fillId="0" borderId="8" xfId="1" applyNumberFormat="1" applyFont="1" applyFill="1" applyBorder="1" applyAlignment="1">
      <alignment horizontal="center" vertical="top" wrapText="1"/>
    </xf>
    <xf numFmtId="169" fontId="1" fillId="0" borderId="8" xfId="1" applyNumberFormat="1" applyFont="1" applyFill="1" applyBorder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70" fontId="5" fillId="0" borderId="8" xfId="1" applyNumberFormat="1" applyFont="1" applyBorder="1" applyAlignment="1">
      <alignment horizontal="center" vertical="top" wrapText="1"/>
    </xf>
    <xf numFmtId="166" fontId="6" fillId="0" borderId="0" xfId="0" applyNumberFormat="1" applyFont="1" applyAlignment="1">
      <alignment horizontal="center" vertical="top"/>
    </xf>
    <xf numFmtId="166" fontId="5" fillId="0" borderId="8" xfId="0" applyNumberFormat="1" applyFont="1" applyBorder="1" applyAlignment="1">
      <alignment horizontal="center" vertical="top"/>
    </xf>
    <xf numFmtId="168" fontId="5" fillId="0" borderId="8" xfId="1" applyNumberFormat="1" applyFont="1" applyBorder="1" applyAlignment="1">
      <alignment horizontal="center" vertical="top"/>
    </xf>
    <xf numFmtId="0" fontId="5" fillId="0" borderId="0" xfId="0" applyFont="1" applyAlignment="1">
      <alignment horizontal="centerContinuous" vertical="top" wrapText="1"/>
    </xf>
    <xf numFmtId="165" fontId="1" fillId="0" borderId="8" xfId="0" applyNumberFormat="1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center"/>
    </xf>
    <xf numFmtId="165" fontId="1" fillId="0" borderId="8" xfId="2" applyNumberFormat="1" applyFont="1" applyBorder="1" applyAlignment="1">
      <alignment horizontal="center" vertical="top" wrapText="1"/>
    </xf>
    <xf numFmtId="9" fontId="5" fillId="0" borderId="8" xfId="2" applyFont="1" applyBorder="1" applyAlignment="1">
      <alignment horizontal="center"/>
    </xf>
    <xf numFmtId="0" fontId="6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 wrapText="1"/>
    </xf>
    <xf numFmtId="0" fontId="5" fillId="0" borderId="0" xfId="0" applyFont="1" applyAlignment="1">
      <alignment horizontal="centerContinuous" vertical="top"/>
    </xf>
    <xf numFmtId="9" fontId="5" fillId="0" borderId="0" xfId="2" applyFont="1" applyFill="1" applyBorder="1"/>
    <xf numFmtId="0" fontId="5" fillId="5" borderId="0" xfId="0" applyFont="1" applyFill="1"/>
    <xf numFmtId="9" fontId="5" fillId="0" borderId="8" xfId="2" applyFont="1" applyFill="1" applyBorder="1" applyAlignment="1">
      <alignment horizontal="center"/>
    </xf>
    <xf numFmtId="9" fontId="6" fillId="0" borderId="0" xfId="0" applyNumberFormat="1" applyFont="1"/>
    <xf numFmtId="10" fontId="5" fillId="0" borderId="0" xfId="0" applyNumberFormat="1" applyFont="1"/>
    <xf numFmtId="10" fontId="5" fillId="0" borderId="8" xfId="2" applyNumberFormat="1" applyFont="1" applyBorder="1" applyAlignment="1">
      <alignment horizontal="center" vertical="top"/>
    </xf>
    <xf numFmtId="10" fontId="5" fillId="0" borderId="8" xfId="2" applyNumberFormat="1" applyFont="1" applyFill="1" applyBorder="1" applyAlignment="1">
      <alignment horizontal="center" vertical="top"/>
    </xf>
    <xf numFmtId="1" fontId="1" fillId="0" borderId="8" xfId="0" applyNumberFormat="1" applyFont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centerContinuous" vertical="top"/>
    </xf>
    <xf numFmtId="10" fontId="5" fillId="5" borderId="8" xfId="0" applyNumberFormat="1" applyFont="1" applyFill="1" applyBorder="1" applyAlignment="1">
      <alignment horizontal="centerContinuous" vertical="top"/>
    </xf>
    <xf numFmtId="1" fontId="5" fillId="5" borderId="8" xfId="0" applyNumberFormat="1" applyFont="1" applyFill="1" applyBorder="1" applyAlignment="1">
      <alignment horizontal="centerContinuous" vertical="top"/>
    </xf>
    <xf numFmtId="165" fontId="1" fillId="5" borderId="8" xfId="0" applyNumberFormat="1" applyFont="1" applyFill="1" applyBorder="1" applyAlignment="1">
      <alignment horizontal="centerContinuous" vertical="top"/>
    </xf>
    <xf numFmtId="9" fontId="1" fillId="5" borderId="8" xfId="0" applyNumberFormat="1" applyFont="1" applyFill="1" applyBorder="1" applyAlignment="1">
      <alignment horizontal="center" vertical="top"/>
    </xf>
    <xf numFmtId="9" fontId="6" fillId="5" borderId="8" xfId="0" applyNumberFormat="1" applyFont="1" applyFill="1" applyBorder="1" applyAlignment="1">
      <alignment horizontal="centerContinuous" vertical="top"/>
    </xf>
    <xf numFmtId="1" fontId="6" fillId="5" borderId="8" xfId="0" applyNumberFormat="1" applyFont="1" applyFill="1" applyBorder="1" applyAlignment="1">
      <alignment horizontal="center" vertical="top"/>
    </xf>
    <xf numFmtId="0" fontId="6" fillId="5" borderId="9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centerContinuous" vertical="top"/>
    </xf>
    <xf numFmtId="9" fontId="1" fillId="5" borderId="9" xfId="0" applyNumberFormat="1" applyFont="1" applyFill="1" applyBorder="1" applyAlignment="1">
      <alignment horizontal="center" vertical="top"/>
    </xf>
    <xf numFmtId="9" fontId="6" fillId="5" borderId="9" xfId="0" applyNumberFormat="1" applyFont="1" applyFill="1" applyBorder="1" applyAlignment="1">
      <alignment horizontal="centerContinuous" vertical="top"/>
    </xf>
    <xf numFmtId="1" fontId="6" fillId="5" borderId="8" xfId="0" applyNumberFormat="1" applyFont="1" applyFill="1" applyBorder="1" applyAlignment="1">
      <alignment horizontal="centerContinuous" vertical="top"/>
    </xf>
    <xf numFmtId="0" fontId="6" fillId="5" borderId="8" xfId="0" applyFont="1" applyFill="1" applyBorder="1" applyAlignment="1">
      <alignment horizontal="centerContinuous" vertical="top"/>
    </xf>
    <xf numFmtId="0" fontId="6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Continuous" vertical="top" wrapText="1"/>
    </xf>
    <xf numFmtId="1" fontId="6" fillId="5" borderId="8" xfId="0" applyNumberFormat="1" applyFont="1" applyFill="1" applyBorder="1" applyAlignment="1">
      <alignment horizontal="centerContinuous" vertical="top" wrapText="1"/>
    </xf>
    <xf numFmtId="165" fontId="1" fillId="5" borderId="8" xfId="0" applyNumberFormat="1" applyFont="1" applyFill="1" applyBorder="1" applyAlignment="1">
      <alignment horizontal="centerContinuous" vertical="top" wrapText="1"/>
    </xf>
    <xf numFmtId="9" fontId="1" fillId="5" borderId="8" xfId="0" applyNumberFormat="1" applyFont="1" applyFill="1" applyBorder="1" applyAlignment="1">
      <alignment horizontal="center" vertical="top" wrapText="1"/>
    </xf>
    <xf numFmtId="9" fontId="6" fillId="5" borderId="8" xfId="0" applyNumberFormat="1" applyFont="1" applyFill="1" applyBorder="1" applyAlignment="1">
      <alignment horizontal="centerContinuous" vertical="top" wrapText="1"/>
    </xf>
    <xf numFmtId="1" fontId="6" fillId="5" borderId="8" xfId="0" applyNumberFormat="1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/>
    </xf>
    <xf numFmtId="0" fontId="5" fillId="5" borderId="8" xfId="0" applyFont="1" applyFill="1" applyBorder="1" applyAlignment="1">
      <alignment horizontal="centerContinuous" vertical="top" wrapText="1"/>
    </xf>
    <xf numFmtId="1" fontId="5" fillId="5" borderId="8" xfId="0" applyNumberFormat="1" applyFont="1" applyFill="1" applyBorder="1" applyAlignment="1">
      <alignment horizontal="centerContinuous" vertical="top" wrapText="1"/>
    </xf>
    <xf numFmtId="9" fontId="5" fillId="5" borderId="8" xfId="0" applyNumberFormat="1" applyFont="1" applyFill="1" applyBorder="1" applyAlignment="1">
      <alignment horizontal="centerContinuous" vertical="top" wrapText="1"/>
    </xf>
    <xf numFmtId="9" fontId="1" fillId="5" borderId="8" xfId="2" applyFont="1" applyFill="1" applyBorder="1" applyAlignment="1">
      <alignment horizontal="center" vertical="top"/>
    </xf>
    <xf numFmtId="9" fontId="5" fillId="5" borderId="8" xfId="2" applyFont="1" applyFill="1" applyBorder="1" applyAlignment="1">
      <alignment horizontal="centerContinuous" vertical="top"/>
    </xf>
    <xf numFmtId="1" fontId="4" fillId="5" borderId="8" xfId="0" applyNumberFormat="1" applyFont="1" applyFill="1" applyBorder="1" applyAlignment="1">
      <alignment horizontal="center" vertical="top"/>
    </xf>
    <xf numFmtId="165" fontId="5" fillId="5" borderId="8" xfId="0" applyNumberFormat="1" applyFont="1" applyFill="1" applyBorder="1" applyAlignment="1">
      <alignment horizontal="centerContinuous" vertical="top"/>
    </xf>
    <xf numFmtId="165" fontId="1" fillId="5" borderId="8" xfId="0" applyNumberFormat="1" applyFont="1" applyFill="1" applyBorder="1" applyAlignment="1">
      <alignment horizontal="center" vertical="top"/>
    </xf>
    <xf numFmtId="0" fontId="5" fillId="5" borderId="8" xfId="0" applyFont="1" applyFill="1" applyBorder="1" applyAlignment="1">
      <alignment horizontal="left" vertical="top"/>
    </xf>
    <xf numFmtId="165" fontId="5" fillId="5" borderId="8" xfId="2" applyNumberFormat="1" applyFont="1" applyFill="1" applyBorder="1" applyAlignment="1">
      <alignment horizontal="centerContinuous" vertical="top"/>
    </xf>
    <xf numFmtId="0" fontId="6" fillId="6" borderId="8" xfId="0" applyFont="1" applyFill="1" applyBorder="1" applyAlignment="1">
      <alignment vertical="top"/>
    </xf>
    <xf numFmtId="0" fontId="5" fillId="6" borderId="8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/>
    </xf>
    <xf numFmtId="165" fontId="5" fillId="6" borderId="8" xfId="0" applyNumberFormat="1" applyFont="1" applyFill="1" applyBorder="1" applyAlignment="1">
      <alignment horizontal="center" vertical="top" wrapText="1"/>
    </xf>
    <xf numFmtId="9" fontId="5" fillId="6" borderId="8" xfId="0" applyNumberFormat="1" applyFont="1" applyFill="1" applyBorder="1" applyAlignment="1">
      <alignment horizontal="center" vertical="top" wrapText="1"/>
    </xf>
    <xf numFmtId="1" fontId="5" fillId="6" borderId="8" xfId="0" applyNumberFormat="1" applyFont="1" applyFill="1" applyBorder="1" applyAlignment="1">
      <alignment horizontal="center" vertical="top" wrapText="1"/>
    </xf>
    <xf numFmtId="165" fontId="5" fillId="6" borderId="8" xfId="2" applyNumberFormat="1" applyFont="1" applyFill="1" applyBorder="1" applyAlignment="1">
      <alignment horizontal="center" vertical="top" wrapText="1"/>
    </xf>
    <xf numFmtId="165" fontId="1" fillId="6" borderId="8" xfId="0" applyNumberFormat="1" applyFont="1" applyFill="1" applyBorder="1" applyAlignment="1">
      <alignment horizontal="center" vertical="top" wrapText="1"/>
    </xf>
    <xf numFmtId="9" fontId="1" fillId="6" borderId="8" xfId="0" applyNumberFormat="1" applyFont="1" applyFill="1" applyBorder="1" applyAlignment="1">
      <alignment horizontal="center" vertical="top" wrapText="1"/>
    </xf>
    <xf numFmtId="1" fontId="6" fillId="6" borderId="8" xfId="0" applyNumberFormat="1" applyFont="1" applyFill="1" applyBorder="1" applyAlignment="1">
      <alignment horizontal="center" vertical="top" wrapText="1"/>
    </xf>
    <xf numFmtId="10" fontId="5" fillId="6" borderId="8" xfId="0" applyNumberFormat="1" applyFont="1" applyFill="1" applyBorder="1" applyAlignment="1">
      <alignment horizontal="center" vertical="top" wrapText="1"/>
    </xf>
    <xf numFmtId="165" fontId="6" fillId="6" borderId="8" xfId="0" applyNumberFormat="1" applyFont="1" applyFill="1" applyBorder="1" applyAlignment="1">
      <alignment horizontal="center" vertical="top" wrapText="1"/>
    </xf>
    <xf numFmtId="9" fontId="6" fillId="6" borderId="8" xfId="0" applyNumberFormat="1" applyFont="1" applyFill="1" applyBorder="1" applyAlignment="1">
      <alignment horizontal="center" vertical="top" wrapText="1"/>
    </xf>
    <xf numFmtId="1" fontId="4" fillId="6" borderId="8" xfId="0" applyNumberFormat="1" applyFont="1" applyFill="1" applyBorder="1" applyAlignment="1">
      <alignment horizontal="center" vertical="top" wrapText="1"/>
    </xf>
    <xf numFmtId="0" fontId="6" fillId="6" borderId="8" xfId="0" applyFont="1" applyFill="1" applyBorder="1"/>
    <xf numFmtId="0" fontId="5" fillId="6" borderId="8" xfId="0" applyFont="1" applyFill="1" applyBorder="1"/>
    <xf numFmtId="165" fontId="5" fillId="6" borderId="8" xfId="0" applyNumberFormat="1" applyFont="1" applyFill="1" applyBorder="1"/>
    <xf numFmtId="0" fontId="1" fillId="6" borderId="8" xfId="0" applyFont="1" applyFill="1" applyBorder="1" applyAlignment="1">
      <alignment horizontal="center"/>
    </xf>
    <xf numFmtId="9" fontId="1" fillId="6" borderId="8" xfId="0" applyNumberFormat="1" applyFont="1" applyFill="1" applyBorder="1" applyAlignment="1">
      <alignment horizontal="center"/>
    </xf>
    <xf numFmtId="9" fontId="5" fillId="6" borderId="8" xfId="0" applyNumberFormat="1" applyFont="1" applyFill="1" applyBorder="1" applyAlignment="1">
      <alignment horizontal="center"/>
    </xf>
    <xf numFmtId="9" fontId="5" fillId="6" borderId="8" xfId="2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 wrapText="1"/>
    </xf>
    <xf numFmtId="170" fontId="5" fillId="5" borderId="8" xfId="1" applyNumberFormat="1" applyFont="1" applyFill="1" applyBorder="1" applyAlignment="1">
      <alignment horizontal="center" vertical="top" wrapText="1"/>
    </xf>
    <xf numFmtId="9" fontId="5" fillId="5" borderId="8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9" fontId="5" fillId="0" borderId="10" xfId="2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Continuous" vertical="top"/>
    </xf>
    <xf numFmtId="0" fontId="1" fillId="5" borderId="8" xfId="0" applyFont="1" applyFill="1" applyBorder="1" applyAlignment="1">
      <alignment horizontal="centerContinuous" vertical="top"/>
    </xf>
    <xf numFmtId="169" fontId="4" fillId="5" borderId="8" xfId="1" applyNumberFormat="1" applyFont="1" applyFill="1" applyBorder="1" applyAlignment="1">
      <alignment horizontal="center" vertical="top"/>
    </xf>
    <xf numFmtId="169" fontId="4" fillId="5" borderId="8" xfId="1" applyNumberFormat="1" applyFont="1" applyFill="1" applyBorder="1" applyAlignment="1">
      <alignment horizontal="centerContinuous" vertical="top"/>
    </xf>
    <xf numFmtId="10" fontId="6" fillId="5" borderId="8" xfId="2" applyNumberFormat="1" applyFont="1" applyFill="1" applyBorder="1" applyAlignment="1">
      <alignment horizontal="centerContinuous" vertical="top"/>
    </xf>
    <xf numFmtId="167" fontId="6" fillId="5" borderId="8" xfId="0" applyNumberFormat="1" applyFont="1" applyFill="1" applyBorder="1" applyAlignment="1">
      <alignment horizontal="centerContinuous" vertical="top"/>
    </xf>
    <xf numFmtId="170" fontId="6" fillId="5" borderId="8" xfId="1" applyNumberFormat="1" applyFont="1" applyFill="1" applyBorder="1" applyAlignment="1">
      <alignment horizontal="centerContinuous" vertical="top"/>
    </xf>
    <xf numFmtId="166" fontId="4" fillId="5" borderId="8" xfId="0" applyNumberFormat="1" applyFont="1" applyFill="1" applyBorder="1" applyAlignment="1">
      <alignment horizontal="centerContinuous" vertical="top"/>
    </xf>
    <xf numFmtId="0" fontId="4" fillId="5" borderId="8" xfId="0" applyFont="1" applyFill="1" applyBorder="1" applyAlignment="1">
      <alignment horizontal="centerContinuous" vertical="top" wrapText="1"/>
    </xf>
    <xf numFmtId="0" fontId="1" fillId="5" borderId="8" xfId="0" applyFont="1" applyFill="1" applyBorder="1" applyAlignment="1">
      <alignment horizontal="centerContinuous" vertical="top" wrapText="1"/>
    </xf>
    <xf numFmtId="169" fontId="4" fillId="5" borderId="8" xfId="1" applyNumberFormat="1" applyFont="1" applyFill="1" applyBorder="1" applyAlignment="1">
      <alignment horizontal="center" vertical="top" wrapText="1"/>
    </xf>
    <xf numFmtId="170" fontId="6" fillId="5" borderId="8" xfId="1" applyNumberFormat="1" applyFont="1" applyFill="1" applyBorder="1" applyAlignment="1">
      <alignment horizontal="centerContinuous" vertical="top" wrapText="1"/>
    </xf>
    <xf numFmtId="166" fontId="4" fillId="5" borderId="8" xfId="0" applyNumberFormat="1" applyFont="1" applyFill="1" applyBorder="1" applyAlignment="1">
      <alignment horizontal="centerContinuous" vertical="top" wrapText="1"/>
    </xf>
    <xf numFmtId="1" fontId="6" fillId="5" borderId="9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166" fontId="1" fillId="6" borderId="8" xfId="0" applyNumberFormat="1" applyFont="1" applyFill="1" applyBorder="1" applyAlignment="1">
      <alignment horizontal="center" vertical="top" wrapText="1"/>
    </xf>
    <xf numFmtId="169" fontId="1" fillId="6" borderId="8" xfId="1" applyNumberFormat="1" applyFont="1" applyFill="1" applyBorder="1" applyAlignment="1">
      <alignment horizontal="center" vertical="top" wrapText="1"/>
    </xf>
    <xf numFmtId="169" fontId="1" fillId="6" borderId="8" xfId="1" applyNumberFormat="1" applyFont="1" applyFill="1" applyBorder="1" applyAlignment="1">
      <alignment horizontal="center" vertical="top"/>
    </xf>
    <xf numFmtId="168" fontId="5" fillId="6" borderId="8" xfId="1" applyNumberFormat="1" applyFont="1" applyFill="1" applyBorder="1" applyAlignment="1">
      <alignment horizontal="center" vertical="top"/>
    </xf>
    <xf numFmtId="10" fontId="5" fillId="6" borderId="8" xfId="2" applyNumberFormat="1" applyFont="1" applyFill="1" applyBorder="1" applyAlignment="1">
      <alignment horizontal="center" vertical="top"/>
    </xf>
    <xf numFmtId="167" fontId="5" fillId="6" borderId="8" xfId="0" applyNumberFormat="1" applyFont="1" applyFill="1" applyBorder="1" applyAlignment="1">
      <alignment horizontal="center" vertical="top"/>
    </xf>
    <xf numFmtId="170" fontId="5" fillId="6" borderId="8" xfId="1" applyNumberFormat="1" applyFont="1" applyFill="1" applyBorder="1" applyAlignment="1">
      <alignment horizontal="center" vertical="top" wrapText="1"/>
    </xf>
    <xf numFmtId="168" fontId="5" fillId="6" borderId="8" xfId="1" applyNumberFormat="1" applyFont="1" applyFill="1" applyBorder="1" applyAlignment="1">
      <alignment horizontal="center" vertical="top" wrapText="1"/>
    </xf>
    <xf numFmtId="1" fontId="4" fillId="6" borderId="8" xfId="2" applyNumberFormat="1" applyFont="1" applyFill="1" applyBorder="1" applyAlignment="1">
      <alignment horizontal="center" vertical="top" wrapText="1"/>
    </xf>
    <xf numFmtId="0" fontId="5" fillId="6" borderId="0" xfId="0" applyFont="1" applyFill="1"/>
    <xf numFmtId="3" fontId="4" fillId="6" borderId="8" xfId="2" applyNumberFormat="1" applyFont="1" applyFill="1" applyBorder="1" applyAlignment="1">
      <alignment horizontal="center" vertical="top" wrapText="1"/>
    </xf>
    <xf numFmtId="166" fontId="5" fillId="6" borderId="8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Continuous" vertical="top"/>
    </xf>
    <xf numFmtId="165" fontId="1" fillId="0" borderId="8" xfId="2" applyNumberFormat="1" applyFont="1" applyFill="1" applyBorder="1" applyAlignment="1">
      <alignment horizontal="center" vertical="top" wrapText="1"/>
    </xf>
    <xf numFmtId="165" fontId="1" fillId="5" borderId="8" xfId="2" applyNumberFormat="1" applyFont="1" applyFill="1" applyBorder="1" applyAlignment="1">
      <alignment horizontal="center" vertical="top" wrapText="1"/>
    </xf>
    <xf numFmtId="165" fontId="1" fillId="6" borderId="8" xfId="2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9" fontId="1" fillId="0" borderId="0" xfId="2" applyFont="1" applyFill="1" applyBorder="1" applyAlignment="1">
      <alignment horizontal="center" vertical="top" wrapText="1"/>
    </xf>
    <xf numFmtId="166" fontId="1" fillId="0" borderId="0" xfId="0" applyNumberFormat="1" applyFont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166" fontId="1" fillId="5" borderId="8" xfId="0" applyNumberFormat="1" applyFont="1" applyFill="1" applyBorder="1" applyAlignment="1">
      <alignment horizontal="center" vertical="top" wrapText="1"/>
    </xf>
    <xf numFmtId="169" fontId="1" fillId="5" borderId="8" xfId="1" applyNumberFormat="1" applyFont="1" applyFill="1" applyBorder="1" applyAlignment="1">
      <alignment horizontal="center" vertical="top" wrapText="1"/>
    </xf>
    <xf numFmtId="169" fontId="1" fillId="5" borderId="8" xfId="1" applyNumberFormat="1" applyFont="1" applyFill="1" applyBorder="1" applyAlignment="1">
      <alignment horizontal="center" vertical="top"/>
    </xf>
    <xf numFmtId="168" fontId="5" fillId="5" borderId="8" xfId="1" applyNumberFormat="1" applyFont="1" applyFill="1" applyBorder="1" applyAlignment="1">
      <alignment horizontal="center" vertical="top"/>
    </xf>
    <xf numFmtId="10" fontId="5" fillId="5" borderId="8" xfId="2" applyNumberFormat="1" applyFont="1" applyFill="1" applyBorder="1" applyAlignment="1">
      <alignment horizontal="center" vertical="top"/>
    </xf>
    <xf numFmtId="167" fontId="5" fillId="5" borderId="8" xfId="0" applyNumberFormat="1" applyFont="1" applyFill="1" applyBorder="1" applyAlignment="1">
      <alignment horizontal="centerContinuous" vertical="top"/>
    </xf>
    <xf numFmtId="168" fontId="5" fillId="5" borderId="8" xfId="1" applyNumberFormat="1" applyFont="1" applyFill="1" applyBorder="1" applyAlignment="1">
      <alignment horizontal="center" vertical="top" wrapText="1"/>
    </xf>
    <xf numFmtId="1" fontId="4" fillId="5" borderId="8" xfId="0" applyNumberFormat="1" applyFont="1" applyFill="1" applyBorder="1" applyAlignment="1">
      <alignment horizontal="centerContinuous" vertical="top"/>
    </xf>
    <xf numFmtId="10" fontId="5" fillId="5" borderId="8" xfId="2" applyNumberFormat="1" applyFont="1" applyFill="1" applyBorder="1" applyAlignment="1">
      <alignment horizontal="centerContinuous" vertical="top"/>
    </xf>
    <xf numFmtId="170" fontId="5" fillId="5" borderId="8" xfId="1" applyNumberFormat="1" applyFont="1" applyFill="1" applyBorder="1" applyAlignment="1">
      <alignment horizontal="centerContinuous" vertical="top" wrapText="1"/>
    </xf>
    <xf numFmtId="166" fontId="1" fillId="5" borderId="8" xfId="0" applyNumberFormat="1" applyFont="1" applyFill="1" applyBorder="1" applyAlignment="1">
      <alignment horizontal="centerContinuous" vertical="top" wrapText="1"/>
    </xf>
    <xf numFmtId="9" fontId="5" fillId="5" borderId="10" xfId="2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left" vertical="top"/>
    </xf>
    <xf numFmtId="169" fontId="1" fillId="0" borderId="8" xfId="1" applyNumberFormat="1" applyFont="1" applyFill="1" applyBorder="1" applyAlignment="1">
      <alignment horizontal="center"/>
    </xf>
    <xf numFmtId="0" fontId="4" fillId="5" borderId="8" xfId="0" applyFont="1" applyFill="1" applyBorder="1"/>
    <xf numFmtId="2" fontId="4" fillId="5" borderId="8" xfId="0" applyNumberFormat="1" applyFont="1" applyFill="1" applyBorder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169" fontId="1" fillId="5" borderId="8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2" fontId="1" fillId="0" borderId="8" xfId="1" applyNumberFormat="1" applyFont="1" applyFill="1" applyBorder="1" applyAlignment="1">
      <alignment horizontal="center"/>
    </xf>
    <xf numFmtId="2" fontId="1" fillId="5" borderId="8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8" fontId="1" fillId="0" borderId="8" xfId="1" applyNumberFormat="1" applyFont="1" applyFill="1" applyBorder="1"/>
    <xf numFmtId="168" fontId="1" fillId="5" borderId="8" xfId="1" applyNumberFormat="1" applyFont="1" applyFill="1" applyBorder="1"/>
    <xf numFmtId="0" fontId="4" fillId="6" borderId="8" xfId="0" applyFont="1" applyFill="1" applyBorder="1"/>
    <xf numFmtId="165" fontId="1" fillId="6" borderId="8" xfId="0" applyNumberFormat="1" applyFont="1" applyFill="1" applyBorder="1" applyAlignment="1">
      <alignment horizontal="center"/>
    </xf>
    <xf numFmtId="1" fontId="1" fillId="6" borderId="8" xfId="1" applyNumberFormat="1" applyFont="1" applyFill="1" applyBorder="1" applyAlignment="1">
      <alignment horizontal="center"/>
    </xf>
    <xf numFmtId="169" fontId="1" fillId="6" borderId="8" xfId="1" applyNumberFormat="1" applyFont="1" applyFill="1" applyBorder="1" applyAlignment="1">
      <alignment horizontal="center"/>
    </xf>
    <xf numFmtId="2" fontId="1" fillId="6" borderId="8" xfId="1" applyNumberFormat="1" applyFont="1" applyFill="1" applyBorder="1" applyAlignment="1">
      <alignment horizontal="center"/>
    </xf>
    <xf numFmtId="168" fontId="1" fillId="6" borderId="8" xfId="1" applyNumberFormat="1" applyFont="1" applyFill="1" applyBorder="1"/>
    <xf numFmtId="0" fontId="4" fillId="0" borderId="0" xfId="0" applyFont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5" borderId="8" xfId="0" applyNumberFormat="1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 wrapText="1"/>
    </xf>
    <xf numFmtId="0" fontId="4" fillId="5" borderId="9" xfId="0" applyFont="1" applyFill="1" applyBorder="1"/>
    <xf numFmtId="2" fontId="4" fillId="5" borderId="9" xfId="0" applyNumberFormat="1" applyFont="1" applyFill="1" applyBorder="1" applyAlignment="1">
      <alignment horizontal="center"/>
    </xf>
    <xf numFmtId="1" fontId="4" fillId="5" borderId="9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67" fontId="4" fillId="5" borderId="8" xfId="0" applyNumberFormat="1" applyFont="1" applyFill="1" applyBorder="1" applyAlignment="1">
      <alignment horizontal="center"/>
    </xf>
    <xf numFmtId="0" fontId="4" fillId="7" borderId="8" xfId="0" applyFont="1" applyFill="1" applyBorder="1"/>
    <xf numFmtId="167" fontId="4" fillId="7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1" fontId="4" fillId="2" borderId="8" xfId="0" applyNumberFormat="1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164" fontId="1" fillId="0" borderId="8" xfId="1" applyFont="1" applyFill="1" applyBorder="1"/>
    <xf numFmtId="9" fontId="1" fillId="0" borderId="8" xfId="2" applyFont="1" applyBorder="1" applyAlignment="1">
      <alignment horizontal="center"/>
    </xf>
    <xf numFmtId="0" fontId="8" fillId="0" borderId="0" xfId="0" applyFont="1" applyAlignment="1">
      <alignment vertical="center" wrapText="1"/>
    </xf>
    <xf numFmtId="166" fontId="4" fillId="6" borderId="8" xfId="0" applyNumberFormat="1" applyFont="1" applyFill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4" fillId="6" borderId="8" xfId="0" applyNumberFormat="1" applyFont="1" applyFill="1" applyBorder="1" applyAlignment="1">
      <alignment horizontal="center"/>
    </xf>
    <xf numFmtId="1" fontId="6" fillId="5" borderId="9" xfId="0" applyNumberFormat="1" applyFont="1" applyFill="1" applyBorder="1" applyAlignment="1">
      <alignment horizontal="centerContinuous" vertical="top"/>
    </xf>
    <xf numFmtId="0" fontId="5" fillId="5" borderId="13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wrapText="1"/>
    </xf>
    <xf numFmtId="3" fontId="7" fillId="4" borderId="7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" fontId="4" fillId="5" borderId="8" xfId="0" applyNumberFormat="1" applyFont="1" applyFill="1" applyBorder="1" applyAlignment="1">
      <alignment horizontal="center" vertical="top" wrapText="1"/>
    </xf>
    <xf numFmtId="3" fontId="4" fillId="6" borderId="8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/>
    </xf>
    <xf numFmtId="165" fontId="1" fillId="8" borderId="8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0" fontId="1" fillId="4" borderId="3" xfId="0" applyFont="1" applyFill="1" applyBorder="1"/>
    <xf numFmtId="0" fontId="1" fillId="5" borderId="9" xfId="0" applyFont="1" applyFill="1" applyBorder="1"/>
    <xf numFmtId="3" fontId="1" fillId="5" borderId="9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67" fontId="1" fillId="5" borderId="9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/>
    </xf>
    <xf numFmtId="0" fontId="1" fillId="0" borderId="8" xfId="0" applyFont="1" applyBorder="1"/>
    <xf numFmtId="3" fontId="1" fillId="0" borderId="8" xfId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3" fontId="1" fillId="5" borderId="8" xfId="1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7" fontId="1" fillId="5" borderId="8" xfId="0" applyNumberFormat="1" applyFont="1" applyFill="1" applyBorder="1" applyAlignment="1">
      <alignment horizontal="center"/>
    </xf>
    <xf numFmtId="9" fontId="1" fillId="5" borderId="8" xfId="0" applyNumberFormat="1" applyFont="1" applyFill="1" applyBorder="1" applyAlignment="1">
      <alignment horizontal="center"/>
    </xf>
    <xf numFmtId="1" fontId="1" fillId="7" borderId="8" xfId="0" applyNumberFormat="1" applyFont="1" applyFill="1" applyBorder="1" applyAlignment="1">
      <alignment horizontal="center"/>
    </xf>
    <xf numFmtId="3" fontId="1" fillId="7" borderId="8" xfId="1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7" fontId="1" fillId="7" borderId="8" xfId="0" applyNumberFormat="1" applyFont="1" applyFill="1" applyBorder="1" applyAlignment="1">
      <alignment horizontal="center"/>
    </xf>
    <xf numFmtId="9" fontId="1" fillId="7" borderId="8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3" fontId="1" fillId="2" borderId="8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7" fontId="1" fillId="2" borderId="8" xfId="0" applyNumberFormat="1" applyFont="1" applyFill="1" applyBorder="1" applyAlignment="1">
      <alignment horizontal="center"/>
    </xf>
    <xf numFmtId="9" fontId="1" fillId="2" borderId="8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167" fontId="5" fillId="0" borderId="0" xfId="0" applyNumberFormat="1" applyFont="1" applyAlignment="1">
      <alignment horizontal="left"/>
    </xf>
    <xf numFmtId="9" fontId="5" fillId="0" borderId="0" xfId="0" applyNumberFormat="1" applyFont="1" applyAlignment="1">
      <alignment horizontal="left"/>
    </xf>
    <xf numFmtId="165" fontId="5" fillId="6" borderId="8" xfId="2" applyNumberFormat="1" applyFont="1" applyFill="1" applyBorder="1"/>
    <xf numFmtId="0" fontId="5" fillId="6" borderId="8" xfId="0" applyFont="1" applyFill="1" applyBorder="1" applyAlignment="1">
      <alignment horizontal="center"/>
    </xf>
    <xf numFmtId="165" fontId="5" fillId="6" borderId="8" xfId="2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39" fontId="5" fillId="0" borderId="8" xfId="1" applyNumberFormat="1" applyFont="1" applyBorder="1" applyAlignment="1">
      <alignment horizontal="center" vertical="top" wrapText="1"/>
    </xf>
    <xf numFmtId="10" fontId="5" fillId="0" borderId="0" xfId="2" applyNumberFormat="1" applyFont="1" applyFill="1" applyBorder="1"/>
    <xf numFmtId="164" fontId="5" fillId="0" borderId="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5" borderId="0" xfId="0" applyFont="1" applyFill="1"/>
    <xf numFmtId="0" fontId="1" fillId="6" borderId="0" xfId="0" applyFont="1" applyFill="1"/>
    <xf numFmtId="1" fontId="4" fillId="5" borderId="8" xfId="2" applyNumberFormat="1" applyFont="1" applyFill="1" applyBorder="1" applyAlignment="1">
      <alignment horizontal="center" vertical="top" wrapText="1"/>
    </xf>
    <xf numFmtId="167" fontId="5" fillId="0" borderId="0" xfId="0" applyNumberFormat="1" applyFont="1" applyAlignment="1">
      <alignment horizontal="center" vertical="top" wrapText="1"/>
    </xf>
    <xf numFmtId="165" fontId="5" fillId="0" borderId="0" xfId="2" applyNumberFormat="1" applyFont="1" applyFill="1" applyBorder="1" applyAlignment="1">
      <alignment horizontal="center" vertical="top" wrapText="1"/>
    </xf>
    <xf numFmtId="166" fontId="5" fillId="0" borderId="0" xfId="0" applyNumberFormat="1" applyFont="1" applyAlignment="1">
      <alignment horizontal="center" vertical="top"/>
    </xf>
    <xf numFmtId="167" fontId="5" fillId="0" borderId="0" xfId="0" applyNumberFormat="1" applyFont="1" applyAlignment="1">
      <alignment horizontal="center" vertical="top"/>
    </xf>
    <xf numFmtId="0" fontId="1" fillId="6" borderId="1" xfId="0" applyFont="1" applyFill="1" applyBorder="1" applyAlignment="1">
      <alignment horizontal="centerContinuous"/>
    </xf>
    <xf numFmtId="0" fontId="1" fillId="6" borderId="2" xfId="0" applyFont="1" applyFill="1" applyBorder="1" applyAlignment="1">
      <alignment horizontal="centerContinuous"/>
    </xf>
    <xf numFmtId="0" fontId="1" fillId="6" borderId="3" xfId="0" applyFont="1" applyFill="1" applyBorder="1"/>
    <xf numFmtId="0" fontId="1" fillId="6" borderId="4" xfId="0" applyFont="1" applyFill="1" applyBorder="1"/>
    <xf numFmtId="0" fontId="1" fillId="0" borderId="0" xfId="0" applyFont="1" applyAlignment="1">
      <alignment wrapText="1"/>
    </xf>
    <xf numFmtId="0" fontId="1" fillId="4" borderId="12" xfId="0" applyFont="1" applyFill="1" applyBorder="1"/>
    <xf numFmtId="9" fontId="1" fillId="0" borderId="0" xfId="2" applyFont="1" applyFill="1"/>
    <xf numFmtId="168" fontId="1" fillId="0" borderId="8" xfId="1" applyNumberFormat="1" applyFont="1" applyFill="1" applyBorder="1" applyAlignment="1">
      <alignment horizontal="center"/>
    </xf>
    <xf numFmtId="164" fontId="1" fillId="0" borderId="8" xfId="1" applyFont="1" applyFill="1" applyBorder="1" applyAlignment="1">
      <alignment horizontal="center"/>
    </xf>
    <xf numFmtId="43" fontId="1" fillId="0" borderId="0" xfId="0" applyNumberFormat="1" applyFont="1"/>
    <xf numFmtId="2" fontId="1" fillId="5" borderId="8" xfId="0" applyNumberFormat="1" applyFont="1" applyFill="1" applyBorder="1" applyAlignment="1">
      <alignment horizontal="center"/>
    </xf>
    <xf numFmtId="168" fontId="1" fillId="5" borderId="8" xfId="1" applyNumberFormat="1" applyFont="1" applyFill="1" applyBorder="1" applyAlignment="1">
      <alignment horizontal="center"/>
    </xf>
    <xf numFmtId="164" fontId="1" fillId="5" borderId="8" xfId="1" applyFont="1" applyFill="1" applyBorder="1"/>
    <xf numFmtId="164" fontId="1" fillId="5" borderId="8" xfId="1" applyFont="1" applyFill="1" applyBorder="1" applyAlignment="1">
      <alignment horizontal="center"/>
    </xf>
    <xf numFmtId="2" fontId="1" fillId="6" borderId="8" xfId="0" applyNumberFormat="1" applyFont="1" applyFill="1" applyBorder="1" applyAlignment="1">
      <alignment horizontal="center"/>
    </xf>
    <xf numFmtId="168" fontId="1" fillId="6" borderId="8" xfId="1" applyNumberFormat="1" applyFont="1" applyFill="1" applyBorder="1" applyAlignment="1">
      <alignment horizontal="center"/>
    </xf>
    <xf numFmtId="164" fontId="1" fillId="6" borderId="8" xfId="1" applyFont="1" applyFill="1" applyBorder="1"/>
    <xf numFmtId="164" fontId="1" fillId="6" borderId="8" xfId="1" applyFont="1" applyFill="1" applyBorder="1" applyAlignment="1">
      <alignment horizontal="center"/>
    </xf>
    <xf numFmtId="0" fontId="1" fillId="3" borderId="0" xfId="0" applyFont="1" applyFill="1"/>
    <xf numFmtId="166" fontId="4" fillId="5" borderId="8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0" xfId="0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253"/>
  <sheetViews>
    <sheetView zoomScale="60" zoomScaleNormal="60" workbookViewId="0">
      <pane xSplit="1" ySplit="4" topLeftCell="H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9.140625" defaultRowHeight="12.75" x14ac:dyDescent="0.2"/>
  <cols>
    <col min="1" max="1" width="38.140625" style="3" customWidth="1"/>
    <col min="2" max="3" width="12.85546875" style="3" customWidth="1"/>
    <col min="4" max="4" width="16.7109375" style="3" customWidth="1"/>
    <col min="5" max="12" width="12.85546875" style="3" customWidth="1"/>
    <col min="13" max="13" width="12.85546875" style="45" customWidth="1"/>
    <col min="14" max="14" width="14.85546875" style="3" customWidth="1"/>
    <col min="15" max="15" width="14.5703125" style="3" customWidth="1"/>
    <col min="16" max="24" width="12.85546875" style="3" customWidth="1"/>
    <col min="25" max="25" width="11.140625" style="3" customWidth="1"/>
    <col min="26" max="26" width="12.85546875" style="3" customWidth="1"/>
    <col min="27" max="31" width="9.140625" style="3"/>
    <col min="32" max="32" width="15" style="3" customWidth="1"/>
    <col min="33" max="33" width="9.140625" style="3"/>
    <col min="34" max="34" width="12" style="3" bestFit="1" customWidth="1"/>
    <col min="35" max="16384" width="9.140625" style="3"/>
  </cols>
  <sheetData>
    <row r="2" spans="1:20" x14ac:dyDescent="0.2">
      <c r="A2" s="1" t="s">
        <v>114</v>
      </c>
    </row>
    <row r="3" spans="1:20" ht="13.5" thickBot="1" x14ac:dyDescent="0.25">
      <c r="A3" s="1"/>
    </row>
    <row r="4" spans="1:20" ht="65.25" thickTop="1" thickBot="1" x14ac:dyDescent="0.25">
      <c r="A4" s="249" t="s">
        <v>0</v>
      </c>
      <c r="B4" s="250" t="s">
        <v>61</v>
      </c>
      <c r="C4" s="250" t="s">
        <v>82</v>
      </c>
      <c r="D4" s="250" t="s">
        <v>1</v>
      </c>
      <c r="E4" s="250" t="s">
        <v>83</v>
      </c>
      <c r="F4" s="250" t="s">
        <v>63</v>
      </c>
      <c r="G4" s="250" t="s">
        <v>64</v>
      </c>
      <c r="H4" s="250" t="s">
        <v>84</v>
      </c>
      <c r="I4" s="250" t="s">
        <v>85</v>
      </c>
      <c r="J4" s="250" t="s">
        <v>3</v>
      </c>
      <c r="K4" s="250" t="s">
        <v>43</v>
      </c>
      <c r="L4" s="250" t="s">
        <v>86</v>
      </c>
      <c r="M4" s="251" t="s">
        <v>4</v>
      </c>
      <c r="N4" s="251" t="s">
        <v>88</v>
      </c>
      <c r="O4" s="250" t="s">
        <v>113</v>
      </c>
      <c r="P4" s="252" t="s">
        <v>87</v>
      </c>
      <c r="R4" s="44" t="s">
        <v>121</v>
      </c>
      <c r="T4" s="34"/>
    </row>
    <row r="5" spans="1:20" ht="13.5" thickTop="1" x14ac:dyDescent="0.2">
      <c r="A5" s="84" t="s">
        <v>47</v>
      </c>
      <c r="B5" s="167">
        <f>SUMPRODUCT(B6:B12,M6:M12)</f>
        <v>406.6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6">
        <f>SUM(M6:M12)</f>
        <v>1</v>
      </c>
      <c r="N5" s="87"/>
      <c r="O5" s="87"/>
      <c r="P5" s="248">
        <f>SUMPRODUCT(P6:P12,M6:M12)</f>
        <v>64.208714330721435</v>
      </c>
      <c r="R5" s="89"/>
      <c r="S5" s="1" t="str">
        <f>A5</f>
        <v>North America</v>
      </c>
      <c r="T5" s="65"/>
    </row>
    <row r="6" spans="1:20" x14ac:dyDescent="0.2">
      <c r="A6" s="13" t="s">
        <v>5</v>
      </c>
      <c r="B6" s="14">
        <v>580</v>
      </c>
      <c r="C6" s="14">
        <v>0</v>
      </c>
      <c r="D6" s="15" t="s">
        <v>6</v>
      </c>
      <c r="E6" s="16">
        <v>3</v>
      </c>
      <c r="F6" s="16">
        <v>4</v>
      </c>
      <c r="G6" s="26">
        <v>3.5000000000000003E-2</v>
      </c>
      <c r="H6" s="14"/>
      <c r="I6" s="17">
        <v>0.8</v>
      </c>
      <c r="J6" s="18">
        <v>62</v>
      </c>
      <c r="K6" s="19">
        <v>0.12</v>
      </c>
      <c r="L6" s="61">
        <v>7.0000000000000007E-2</v>
      </c>
      <c r="M6" s="46">
        <v>0.35</v>
      </c>
      <c r="N6" s="17"/>
      <c r="O6" s="17"/>
      <c r="P6" s="18">
        <f t="shared" ref="P6:P33" si="0">S130</f>
        <v>97.530579676765242</v>
      </c>
      <c r="R6" s="14">
        <f>B6</f>
        <v>580</v>
      </c>
      <c r="S6" s="3" t="str">
        <f t="shared" ref="S6:S69" si="1">A6</f>
        <v>Mature Females</v>
      </c>
      <c r="T6" s="34"/>
    </row>
    <row r="7" spans="1:20" x14ac:dyDescent="0.2">
      <c r="A7" s="13" t="s">
        <v>7</v>
      </c>
      <c r="B7" s="14">
        <v>820</v>
      </c>
      <c r="C7" s="14">
        <v>0</v>
      </c>
      <c r="D7" s="15" t="s">
        <v>6</v>
      </c>
      <c r="E7" s="14"/>
      <c r="F7" s="14"/>
      <c r="G7" s="14"/>
      <c r="H7" s="14"/>
      <c r="I7" s="17"/>
      <c r="J7" s="18">
        <v>62</v>
      </c>
      <c r="K7" s="19">
        <v>0.12</v>
      </c>
      <c r="L7" s="61">
        <v>7.0000000000000007E-2</v>
      </c>
      <c r="M7" s="46">
        <v>0.02</v>
      </c>
      <c r="N7" s="17"/>
      <c r="O7" s="17"/>
      <c r="P7" s="18">
        <f t="shared" si="0"/>
        <v>97.678423316330338</v>
      </c>
      <c r="R7" s="14">
        <f>B7</f>
        <v>820</v>
      </c>
      <c r="S7" s="3" t="str">
        <f t="shared" si="1"/>
        <v>Mature Males</v>
      </c>
      <c r="T7" s="34"/>
    </row>
    <row r="8" spans="1:20" x14ac:dyDescent="0.2">
      <c r="A8" s="13" t="s">
        <v>8</v>
      </c>
      <c r="B8" s="14">
        <v>125</v>
      </c>
      <c r="C8" s="16">
        <v>1</v>
      </c>
      <c r="D8" s="15" t="s">
        <v>6</v>
      </c>
      <c r="E8" s="14"/>
      <c r="F8" s="14"/>
      <c r="G8" s="14"/>
      <c r="H8" s="14"/>
      <c r="I8" s="17"/>
      <c r="J8" s="18">
        <v>95</v>
      </c>
      <c r="K8" s="19">
        <v>0.16</v>
      </c>
      <c r="L8" s="61">
        <v>0</v>
      </c>
      <c r="M8" s="46">
        <v>0.16</v>
      </c>
      <c r="N8" s="17"/>
      <c r="O8" s="17"/>
      <c r="P8" s="18">
        <f t="shared" si="0"/>
        <v>0</v>
      </c>
      <c r="R8" s="14">
        <v>420</v>
      </c>
      <c r="S8" s="3" t="str">
        <f t="shared" si="1"/>
        <v>Calves on milk</v>
      </c>
      <c r="T8" s="34"/>
    </row>
    <row r="9" spans="1:20" x14ac:dyDescent="0.2">
      <c r="A9" s="13" t="s">
        <v>9</v>
      </c>
      <c r="B9" s="14">
        <v>215</v>
      </c>
      <c r="C9" s="16">
        <v>1</v>
      </c>
      <c r="D9" s="15" t="s">
        <v>6</v>
      </c>
      <c r="E9" s="14"/>
      <c r="F9" s="14"/>
      <c r="G9" s="14"/>
      <c r="H9" s="14"/>
      <c r="I9" s="17"/>
      <c r="J9" s="18">
        <v>65</v>
      </c>
      <c r="K9" s="19">
        <v>0.13</v>
      </c>
      <c r="L9" s="61">
        <v>6.3E-2</v>
      </c>
      <c r="M9" s="46">
        <v>0.08</v>
      </c>
      <c r="N9" s="17"/>
      <c r="O9" s="17"/>
      <c r="P9" s="18">
        <f t="shared" si="0"/>
        <v>58.635911496854575</v>
      </c>
      <c r="Q9" s="6"/>
      <c r="R9" s="14">
        <v>420</v>
      </c>
      <c r="S9" s="3" t="str">
        <f t="shared" si="1"/>
        <v>Calves on forage</v>
      </c>
      <c r="T9" s="34"/>
    </row>
    <row r="10" spans="1:20" x14ac:dyDescent="0.2">
      <c r="A10" s="13" t="s">
        <v>10</v>
      </c>
      <c r="B10" s="14">
        <v>300</v>
      </c>
      <c r="C10" s="14">
        <v>0.9</v>
      </c>
      <c r="D10" s="15" t="s">
        <v>6</v>
      </c>
      <c r="E10" s="14"/>
      <c r="F10" s="14"/>
      <c r="G10" s="14"/>
      <c r="H10" s="14"/>
      <c r="I10" s="17"/>
      <c r="J10" s="18">
        <v>62</v>
      </c>
      <c r="K10" s="19">
        <v>0.12</v>
      </c>
      <c r="L10" s="61">
        <v>6.3E-2</v>
      </c>
      <c r="M10" s="46">
        <v>0.17</v>
      </c>
      <c r="N10" s="17"/>
      <c r="O10" s="17"/>
      <c r="P10" s="18">
        <f t="shared" si="0"/>
        <v>66.788394600374374</v>
      </c>
      <c r="Q10" s="6"/>
      <c r="R10" s="14">
        <v>620</v>
      </c>
      <c r="S10" s="3" t="str">
        <f t="shared" si="1"/>
        <v>Growing heifers/steers</v>
      </c>
      <c r="T10" s="34"/>
    </row>
    <row r="11" spans="1:20" x14ac:dyDescent="0.2">
      <c r="A11" s="13" t="s">
        <v>11</v>
      </c>
      <c r="B11" s="14">
        <v>400</v>
      </c>
      <c r="C11" s="14">
        <v>0.5</v>
      </c>
      <c r="D11" s="15" t="s">
        <v>6</v>
      </c>
      <c r="E11" s="14"/>
      <c r="F11" s="14"/>
      <c r="G11" s="14"/>
      <c r="H11" s="14"/>
      <c r="I11" s="17"/>
      <c r="J11" s="18">
        <v>62</v>
      </c>
      <c r="K11" s="19">
        <v>0.12</v>
      </c>
      <c r="L11" s="61">
        <v>7.0000000000000007E-2</v>
      </c>
      <c r="M11" s="46">
        <v>0.11</v>
      </c>
      <c r="N11" s="17"/>
      <c r="O11" s="17"/>
      <c r="P11" s="18">
        <f t="shared" si="0"/>
        <v>73.043103556167509</v>
      </c>
      <c r="Q11" s="6"/>
      <c r="R11" s="14">
        <v>580</v>
      </c>
      <c r="S11" s="3" t="str">
        <f t="shared" si="1"/>
        <v>Replacement/growing</v>
      </c>
      <c r="T11" s="34"/>
    </row>
    <row r="12" spans="1:20" x14ac:dyDescent="0.2">
      <c r="A12" s="13" t="s">
        <v>12</v>
      </c>
      <c r="B12" s="14">
        <v>500</v>
      </c>
      <c r="C12" s="14">
        <v>1.4</v>
      </c>
      <c r="D12" s="15" t="s">
        <v>13</v>
      </c>
      <c r="E12" s="14"/>
      <c r="F12" s="14"/>
      <c r="G12" s="14"/>
      <c r="H12" s="14"/>
      <c r="I12" s="17"/>
      <c r="J12" s="18">
        <v>75</v>
      </c>
      <c r="K12" s="19">
        <v>0.14000000000000001</v>
      </c>
      <c r="L12" s="61">
        <v>0.03</v>
      </c>
      <c r="M12" s="46">
        <v>0.11</v>
      </c>
      <c r="N12" s="17"/>
      <c r="O12" s="17"/>
      <c r="P12" s="18">
        <f t="shared" si="0"/>
        <v>36.72546895033237</v>
      </c>
      <c r="Q12" s="6"/>
      <c r="R12" s="14">
        <v>620</v>
      </c>
      <c r="S12" s="3" t="str">
        <f t="shared" si="1"/>
        <v>Feedlot cattle</v>
      </c>
      <c r="T12" s="34"/>
    </row>
    <row r="13" spans="1:20" x14ac:dyDescent="0.2">
      <c r="A13" s="76" t="s">
        <v>14</v>
      </c>
      <c r="B13" s="103">
        <f>SUMPRODUCT(B14:B17,M14:M17)</f>
        <v>404.9</v>
      </c>
      <c r="C13" s="89"/>
      <c r="D13" s="89"/>
      <c r="E13" s="89"/>
      <c r="F13" s="89"/>
      <c r="G13" s="89"/>
      <c r="H13" s="89"/>
      <c r="I13" s="89"/>
      <c r="J13" s="88"/>
      <c r="K13" s="88"/>
      <c r="L13" s="80"/>
      <c r="M13" s="81">
        <f>SUM(M14:M17)</f>
        <v>1</v>
      </c>
      <c r="N13" s="82"/>
      <c r="O13" s="82"/>
      <c r="P13" s="83">
        <f t="shared" si="0"/>
        <v>51.837722949197783</v>
      </c>
      <c r="R13" s="89"/>
      <c r="S13" s="1" t="str">
        <f t="shared" si="1"/>
        <v>Western Europe</v>
      </c>
      <c r="T13" s="65"/>
    </row>
    <row r="14" spans="1:20" x14ac:dyDescent="0.2">
      <c r="A14" s="13" t="s">
        <v>7</v>
      </c>
      <c r="B14" s="14">
        <v>600</v>
      </c>
      <c r="C14" s="14">
        <v>0</v>
      </c>
      <c r="D14" s="15" t="s">
        <v>6</v>
      </c>
      <c r="E14" s="14"/>
      <c r="F14" s="14"/>
      <c r="G14" s="14"/>
      <c r="H14" s="14"/>
      <c r="I14" s="17"/>
      <c r="J14" s="18">
        <v>60</v>
      </c>
      <c r="K14" s="19">
        <v>0.14699999999999999</v>
      </c>
      <c r="L14" s="61">
        <v>7.0000000000000007E-2</v>
      </c>
      <c r="M14" s="46">
        <v>0.22</v>
      </c>
      <c r="N14" s="17"/>
      <c r="O14" s="17"/>
      <c r="P14" s="18">
        <f t="shared" si="0"/>
        <v>81.17995677927928</v>
      </c>
      <c r="R14" s="14">
        <f>B14</f>
        <v>600</v>
      </c>
      <c r="S14" s="3" t="str">
        <f t="shared" si="1"/>
        <v>Mature Males</v>
      </c>
      <c r="T14" s="34"/>
    </row>
    <row r="15" spans="1:20" x14ac:dyDescent="0.2">
      <c r="A15" s="13" t="s">
        <v>11</v>
      </c>
      <c r="B15" s="14">
        <v>400</v>
      </c>
      <c r="C15" s="14">
        <v>0.4</v>
      </c>
      <c r="D15" s="15" t="s">
        <v>6</v>
      </c>
      <c r="E15" s="14"/>
      <c r="F15" s="14"/>
      <c r="G15" s="14"/>
      <c r="H15" s="14"/>
      <c r="I15" s="17"/>
      <c r="J15" s="18">
        <v>65</v>
      </c>
      <c r="K15" s="19">
        <v>0.16500000000000001</v>
      </c>
      <c r="L15" s="61">
        <v>6.3E-2</v>
      </c>
      <c r="M15" s="46">
        <v>0.55000000000000004</v>
      </c>
      <c r="N15" s="17"/>
      <c r="O15" s="17"/>
      <c r="P15" s="18">
        <f t="shared" si="0"/>
        <v>57.151426816254954</v>
      </c>
      <c r="Q15" s="6"/>
      <c r="R15" s="14">
        <v>550</v>
      </c>
      <c r="S15" s="3" t="str">
        <f t="shared" si="1"/>
        <v>Replacement/growing</v>
      </c>
      <c r="T15" s="34"/>
    </row>
    <row r="16" spans="1:20" x14ac:dyDescent="0.2">
      <c r="A16" s="13" t="s">
        <v>8</v>
      </c>
      <c r="B16" s="14">
        <v>230</v>
      </c>
      <c r="C16" s="14">
        <v>0.3</v>
      </c>
      <c r="D16" s="15" t="s">
        <v>53</v>
      </c>
      <c r="E16" s="14"/>
      <c r="F16" s="14"/>
      <c r="G16" s="14"/>
      <c r="H16" s="14"/>
      <c r="I16" s="17"/>
      <c r="J16" s="18">
        <v>95</v>
      </c>
      <c r="K16" s="19">
        <v>0.17100000000000001</v>
      </c>
      <c r="L16" s="61">
        <v>0</v>
      </c>
      <c r="M16" s="46">
        <v>0.15</v>
      </c>
      <c r="N16" s="17"/>
      <c r="O16" s="17"/>
      <c r="P16" s="18">
        <f t="shared" si="0"/>
        <v>0</v>
      </c>
      <c r="Q16" s="6"/>
      <c r="R16" s="14">
        <v>370</v>
      </c>
      <c r="S16" s="3" t="str">
        <f t="shared" si="1"/>
        <v>Calves on milk</v>
      </c>
      <c r="T16" s="34"/>
    </row>
    <row r="17" spans="1:25" x14ac:dyDescent="0.2">
      <c r="A17" s="13" t="s">
        <v>9</v>
      </c>
      <c r="B17" s="14">
        <v>230</v>
      </c>
      <c r="C17" s="14">
        <v>0.3</v>
      </c>
      <c r="D17" s="15" t="s">
        <v>6</v>
      </c>
      <c r="E17" s="14"/>
      <c r="F17" s="14"/>
      <c r="G17" s="14"/>
      <c r="H17" s="14"/>
      <c r="I17" s="17"/>
      <c r="J17" s="18">
        <v>73</v>
      </c>
      <c r="K17" s="19">
        <v>0.16500000000000001</v>
      </c>
      <c r="L17" s="61">
        <v>6.3E-2</v>
      </c>
      <c r="M17" s="46">
        <v>0.08</v>
      </c>
      <c r="N17" s="17"/>
      <c r="O17" s="17"/>
      <c r="P17" s="18">
        <f t="shared" si="0"/>
        <v>31.810596360201412</v>
      </c>
      <c r="Q17" s="6"/>
      <c r="R17" s="14">
        <v>350</v>
      </c>
      <c r="S17" s="3" t="str">
        <f t="shared" si="1"/>
        <v>Calves on forage</v>
      </c>
      <c r="T17" s="34"/>
    </row>
    <row r="18" spans="1:25" x14ac:dyDescent="0.2">
      <c r="A18" s="90" t="s">
        <v>48</v>
      </c>
      <c r="B18" s="257">
        <f>SUMPRODUCT(B19:B22,M19:M22)</f>
        <v>388.5</v>
      </c>
      <c r="C18" s="91"/>
      <c r="D18" s="89"/>
      <c r="E18" s="91"/>
      <c r="F18" s="91"/>
      <c r="G18" s="91"/>
      <c r="H18" s="91"/>
      <c r="I18" s="91"/>
      <c r="J18" s="92"/>
      <c r="K18" s="92"/>
      <c r="L18" s="93"/>
      <c r="M18" s="94">
        <f>SUM(M19:M22)</f>
        <v>1</v>
      </c>
      <c r="N18" s="95"/>
      <c r="O18" s="95"/>
      <c r="P18" s="96">
        <f t="shared" si="0"/>
        <v>58.147872951042025</v>
      </c>
      <c r="R18" s="91"/>
      <c r="S18" s="1" t="str">
        <f t="shared" si="1"/>
        <v>Eastern Europe</v>
      </c>
      <c r="T18" s="66"/>
    </row>
    <row r="19" spans="1:25" x14ac:dyDescent="0.2">
      <c r="A19" s="13" t="s">
        <v>5</v>
      </c>
      <c r="B19" s="14">
        <v>500</v>
      </c>
      <c r="C19" s="14">
        <v>0</v>
      </c>
      <c r="D19" s="15" t="s">
        <v>6</v>
      </c>
      <c r="E19" s="16">
        <v>3</v>
      </c>
      <c r="F19" s="16">
        <v>4.2</v>
      </c>
      <c r="G19" s="26">
        <v>3.6999999999999998E-2</v>
      </c>
      <c r="H19" s="14"/>
      <c r="I19" s="17">
        <v>0.8</v>
      </c>
      <c r="J19" s="18">
        <v>70</v>
      </c>
      <c r="K19" s="19">
        <v>0.151</v>
      </c>
      <c r="L19" s="61">
        <v>6.3E-2</v>
      </c>
      <c r="M19" s="46">
        <v>0.39</v>
      </c>
      <c r="N19" s="17"/>
      <c r="O19" s="17"/>
      <c r="P19" s="18">
        <f t="shared" si="0"/>
        <v>67.490464984249655</v>
      </c>
      <c r="R19" s="14">
        <f>B19</f>
        <v>500</v>
      </c>
      <c r="S19" s="3" t="str">
        <f t="shared" si="1"/>
        <v>Mature Females</v>
      </c>
      <c r="T19" s="34"/>
    </row>
    <row r="20" spans="1:25" x14ac:dyDescent="0.2">
      <c r="A20" s="13" t="s">
        <v>7</v>
      </c>
      <c r="B20" s="14">
        <v>600</v>
      </c>
      <c r="C20" s="14">
        <v>0</v>
      </c>
      <c r="D20" s="15" t="s">
        <v>6</v>
      </c>
      <c r="E20" s="14"/>
      <c r="F20" s="14"/>
      <c r="G20" s="14"/>
      <c r="H20" s="14"/>
      <c r="I20" s="17"/>
      <c r="J20" s="18">
        <v>65</v>
      </c>
      <c r="K20" s="19">
        <v>0.14199999999999999</v>
      </c>
      <c r="L20" s="61">
        <v>6.3E-2</v>
      </c>
      <c r="M20" s="46">
        <v>0.09</v>
      </c>
      <c r="N20" s="17"/>
      <c r="O20" s="17"/>
      <c r="P20" s="18">
        <f t="shared" si="0"/>
        <v>64.929386437813562</v>
      </c>
      <c r="R20" s="14">
        <f>B20</f>
        <v>600</v>
      </c>
      <c r="S20" s="3" t="str">
        <f t="shared" si="1"/>
        <v>Mature Males</v>
      </c>
      <c r="T20" s="34"/>
    </row>
    <row r="21" spans="1:25" x14ac:dyDescent="0.2">
      <c r="A21" s="13" t="str">
        <f>A11</f>
        <v>Replacement/growing</v>
      </c>
      <c r="B21" s="14">
        <v>350</v>
      </c>
      <c r="C21" s="16">
        <v>0.4</v>
      </c>
      <c r="D21" s="15" t="s">
        <v>6</v>
      </c>
      <c r="E21" s="14"/>
      <c r="F21" s="14"/>
      <c r="G21" s="14"/>
      <c r="H21" s="14"/>
      <c r="I21" s="17"/>
      <c r="J21" s="18">
        <v>65</v>
      </c>
      <c r="K21" s="19">
        <v>0.14199999999999999</v>
      </c>
      <c r="L21" s="61">
        <v>6.3E-2</v>
      </c>
      <c r="M21" s="46">
        <v>0.27</v>
      </c>
      <c r="N21" s="17"/>
      <c r="O21" s="17"/>
      <c r="P21" s="18">
        <f t="shared" si="0"/>
        <v>53.208729652462161</v>
      </c>
      <c r="R21" s="18">
        <v>480</v>
      </c>
      <c r="S21" s="3" t="str">
        <f t="shared" si="1"/>
        <v>Replacement/growing</v>
      </c>
      <c r="T21" s="27"/>
      <c r="Y21" s="7"/>
    </row>
    <row r="22" spans="1:25" x14ac:dyDescent="0.2">
      <c r="A22" s="13" t="str">
        <f>A17</f>
        <v>Calves on forage</v>
      </c>
      <c r="B22" s="14">
        <v>180</v>
      </c>
      <c r="C22" s="16">
        <v>0.7</v>
      </c>
      <c r="D22" s="15" t="s">
        <v>6</v>
      </c>
      <c r="E22" s="14"/>
      <c r="F22" s="14"/>
      <c r="G22" s="14"/>
      <c r="H22" s="14"/>
      <c r="I22" s="17"/>
      <c r="J22" s="18">
        <v>65</v>
      </c>
      <c r="K22" s="19">
        <v>0.14299999999999999</v>
      </c>
      <c r="L22" s="61">
        <v>6.3E-2</v>
      </c>
      <c r="M22" s="46">
        <v>0.25</v>
      </c>
      <c r="N22" s="17"/>
      <c r="O22" s="17"/>
      <c r="P22" s="18">
        <f t="shared" si="0"/>
        <v>46.466359286466627</v>
      </c>
      <c r="Q22" s="7"/>
      <c r="R22" s="18">
        <v>320</v>
      </c>
      <c r="S22" s="3" t="str">
        <f t="shared" si="1"/>
        <v>Calves on forage</v>
      </c>
      <c r="T22" s="27"/>
      <c r="V22" s="6"/>
      <c r="Y22" s="7"/>
    </row>
    <row r="23" spans="1:25" x14ac:dyDescent="0.2">
      <c r="A23" s="76" t="s">
        <v>49</v>
      </c>
      <c r="B23" s="103">
        <f>SUMPRODUCT(B24:B26,M24:M26)</f>
        <v>359.45000000000005</v>
      </c>
      <c r="C23" s="89"/>
      <c r="D23" s="89"/>
      <c r="E23" s="89"/>
      <c r="F23" s="89"/>
      <c r="G23" s="89"/>
      <c r="H23" s="89"/>
      <c r="I23" s="89"/>
      <c r="J23" s="88"/>
      <c r="K23" s="88"/>
      <c r="L23" s="80"/>
      <c r="M23" s="97"/>
      <c r="N23" s="89"/>
      <c r="O23" s="89"/>
      <c r="P23" s="83">
        <f t="shared" si="0"/>
        <v>63.024399273091483</v>
      </c>
      <c r="R23" s="89"/>
      <c r="S23" s="1" t="str">
        <f t="shared" si="1"/>
        <v>Oceania</v>
      </c>
      <c r="T23" s="65"/>
    </row>
    <row r="24" spans="1:25" x14ac:dyDescent="0.2">
      <c r="A24" s="13" t="s">
        <v>5</v>
      </c>
      <c r="B24" s="14">
        <v>416</v>
      </c>
      <c r="C24" s="14"/>
      <c r="D24" s="15" t="s">
        <v>6</v>
      </c>
      <c r="E24" s="14">
        <v>1.7</v>
      </c>
      <c r="F24" s="14">
        <v>4.8</v>
      </c>
      <c r="G24" s="26">
        <v>3.6999999999999998E-2</v>
      </c>
      <c r="H24" s="14"/>
      <c r="I24" s="17">
        <v>0.81</v>
      </c>
      <c r="J24" s="18">
        <v>61</v>
      </c>
      <c r="K24" s="19">
        <v>0.14000000000000001</v>
      </c>
      <c r="L24" s="61">
        <v>7.0000000000000007E-2</v>
      </c>
      <c r="M24" s="46">
        <v>0.45</v>
      </c>
      <c r="N24" s="17"/>
      <c r="O24" s="17"/>
      <c r="P24" s="18">
        <f t="shared" si="0"/>
        <v>75.79907245810476</v>
      </c>
      <c r="R24" s="14">
        <v>450</v>
      </c>
      <c r="S24" s="3" t="str">
        <f t="shared" si="1"/>
        <v>Mature Females</v>
      </c>
      <c r="T24" s="34"/>
    </row>
    <row r="25" spans="1:25" x14ac:dyDescent="0.2">
      <c r="A25" s="13" t="s">
        <v>7</v>
      </c>
      <c r="B25" s="14">
        <v>467</v>
      </c>
      <c r="C25" s="14"/>
      <c r="D25" s="15" t="s">
        <v>6</v>
      </c>
      <c r="E25" s="14"/>
      <c r="F25" s="14"/>
      <c r="G25" s="14"/>
      <c r="H25" s="14"/>
      <c r="I25" s="17"/>
      <c r="J25" s="18">
        <v>62</v>
      </c>
      <c r="K25" s="19">
        <v>0.14000000000000001</v>
      </c>
      <c r="L25" s="61">
        <v>7.0000000000000007E-2</v>
      </c>
      <c r="M25" s="46">
        <v>0.25</v>
      </c>
      <c r="N25" s="17"/>
      <c r="O25" s="17"/>
      <c r="P25" s="18">
        <f t="shared" si="0"/>
        <v>64.036253019483439</v>
      </c>
      <c r="R25" s="14">
        <v>550</v>
      </c>
      <c r="S25" s="3" t="str">
        <f t="shared" si="1"/>
        <v>Mature Males</v>
      </c>
      <c r="T25" s="34"/>
    </row>
    <row r="26" spans="1:25" x14ac:dyDescent="0.2">
      <c r="A26" s="13" t="s">
        <v>15</v>
      </c>
      <c r="B26" s="14">
        <v>185</v>
      </c>
      <c r="C26" s="14">
        <v>0.41</v>
      </c>
      <c r="D26" s="15" t="s">
        <v>6</v>
      </c>
      <c r="E26" s="14"/>
      <c r="F26" s="14"/>
      <c r="G26" s="14"/>
      <c r="H26" s="14"/>
      <c r="I26" s="17"/>
      <c r="J26" s="18">
        <v>61</v>
      </c>
      <c r="K26" s="19">
        <v>0.14000000000000001</v>
      </c>
      <c r="L26" s="61">
        <v>7.0000000000000007E-2</v>
      </c>
      <c r="M26" s="46">
        <v>0.3</v>
      </c>
      <c r="N26" s="17"/>
      <c r="O26" s="17"/>
      <c r="P26" s="18">
        <f t="shared" si="0"/>
        <v>43.019178040244931</v>
      </c>
      <c r="Q26" s="6"/>
      <c r="R26" s="18">
        <v>400</v>
      </c>
      <c r="S26" s="3" t="str">
        <f t="shared" si="1"/>
        <v>Young</v>
      </c>
      <c r="T26" s="27"/>
    </row>
    <row r="27" spans="1:25" x14ac:dyDescent="0.2">
      <c r="A27" s="76" t="s">
        <v>50</v>
      </c>
      <c r="B27" s="257">
        <f>SUMPRODUCT(B28:B34,M28:M34)</f>
        <v>303.05670000000003</v>
      </c>
      <c r="C27" s="98"/>
      <c r="D27" s="77"/>
      <c r="E27" s="98"/>
      <c r="F27" s="98"/>
      <c r="G27" s="98"/>
      <c r="H27" s="98"/>
      <c r="I27" s="98"/>
      <c r="J27" s="99"/>
      <c r="K27" s="99"/>
      <c r="L27" s="93"/>
      <c r="M27" s="94">
        <f>SUM(M28:M34)</f>
        <v>1.0000000000000002</v>
      </c>
      <c r="N27" s="100"/>
      <c r="O27" s="100"/>
      <c r="P27" s="96">
        <f t="shared" si="0"/>
        <v>55.994077898973579</v>
      </c>
      <c r="Q27" s="213"/>
      <c r="R27" s="98"/>
      <c r="S27" s="1" t="str">
        <f t="shared" si="1"/>
        <v>Latin America</v>
      </c>
      <c r="T27" s="60"/>
    </row>
    <row r="28" spans="1:25" x14ac:dyDescent="0.2">
      <c r="A28" s="13" t="str">
        <f t="shared" ref="A28:A34" si="2">A43</f>
        <v xml:space="preserve"> Mature Females</v>
      </c>
      <c r="B28" s="18">
        <f>B36*O36+B43*O43</f>
        <v>434.72560975609758</v>
      </c>
      <c r="C28" s="21">
        <f>C36*U28+C43*V28</f>
        <v>0</v>
      </c>
      <c r="D28" s="15" t="s">
        <v>6</v>
      </c>
      <c r="E28" s="16">
        <f>E36*O36+E43*O43</f>
        <v>1.9893292682926829</v>
      </c>
      <c r="F28" s="16">
        <f>F36*O36+F43*O43</f>
        <v>4.2789634146341458</v>
      </c>
      <c r="G28" s="26">
        <v>3.5000000000000003E-2</v>
      </c>
      <c r="H28" s="14"/>
      <c r="I28" s="30">
        <f>I36*O36+I43*O43</f>
        <v>0.62996951219512187</v>
      </c>
      <c r="J28" s="18">
        <f>J36*O36+J43*O43</f>
        <v>59.420731707317074</v>
      </c>
      <c r="K28" s="41">
        <f>K36*O36+K43*O43</f>
        <v>9.541768292682927E-2</v>
      </c>
      <c r="L28" s="61">
        <v>7.0000000000000007E-2</v>
      </c>
      <c r="M28" s="46">
        <f t="shared" ref="M28:M33" si="3">N43+N36</f>
        <v>0.36080000000000001</v>
      </c>
      <c r="N28" s="17"/>
      <c r="O28" s="17"/>
      <c r="P28" s="18">
        <f t="shared" si="0"/>
        <v>81.075012446933272</v>
      </c>
      <c r="Q28" s="291"/>
      <c r="R28" s="18">
        <f>R36*O36+R43*O43</f>
        <v>434.72560975609758</v>
      </c>
      <c r="S28" s="3" t="str">
        <f t="shared" si="1"/>
        <v xml:space="preserve"> Mature Females</v>
      </c>
      <c r="T28" s="34"/>
      <c r="U28" s="68"/>
      <c r="V28" s="43"/>
      <c r="W28" s="43"/>
      <c r="X28" s="43"/>
      <c r="Y28" s="43"/>
    </row>
    <row r="29" spans="1:25" x14ac:dyDescent="0.2">
      <c r="A29" s="13" t="str">
        <f t="shared" si="2"/>
        <v xml:space="preserve"> Mature Males</v>
      </c>
      <c r="B29" s="18">
        <f t="shared" ref="B29:B32" si="4">B37*O37+B44*O44</f>
        <v>581.94915254237287</v>
      </c>
      <c r="C29" s="21">
        <f>C37*U29+C44*V29</f>
        <v>0</v>
      </c>
      <c r="D29" s="15" t="s">
        <v>6</v>
      </c>
      <c r="E29" s="14"/>
      <c r="F29" s="14"/>
      <c r="G29" s="14"/>
      <c r="H29" s="14"/>
      <c r="I29" s="17"/>
      <c r="J29" s="18">
        <f t="shared" ref="J29:J33" si="5">J37*O37+J44*O44</f>
        <v>59.259887005649716</v>
      </c>
      <c r="K29" s="41">
        <f t="shared" ref="K29:K33" si="6">K37*O37+K44*O44</f>
        <v>9.8079096045197739E-2</v>
      </c>
      <c r="L29" s="61">
        <v>7.0000000000000007E-2</v>
      </c>
      <c r="M29" s="46">
        <f t="shared" si="3"/>
        <v>1.77E-2</v>
      </c>
      <c r="N29" s="17"/>
      <c r="O29" s="17"/>
      <c r="P29" s="18">
        <f t="shared" si="0"/>
        <v>80.863853229752294</v>
      </c>
      <c r="Q29" s="291"/>
      <c r="R29" s="18">
        <f t="shared" ref="R29:R33" si="7">R37*O37+R44*O44</f>
        <v>581.94915254237287</v>
      </c>
      <c r="S29" s="3" t="str">
        <f t="shared" si="1"/>
        <v xml:space="preserve"> Mature Males</v>
      </c>
      <c r="T29" s="34"/>
      <c r="U29" s="68"/>
      <c r="V29" s="43"/>
      <c r="W29" s="43"/>
      <c r="X29" s="43"/>
      <c r="Y29" s="43"/>
    </row>
    <row r="30" spans="1:25" x14ac:dyDescent="0.2">
      <c r="A30" s="13" t="str">
        <f t="shared" si="2"/>
        <v>Growing heifers/steers</v>
      </c>
      <c r="B30" s="18">
        <f t="shared" si="4"/>
        <v>240</v>
      </c>
      <c r="C30" s="20">
        <f>C38*O38+C45*O45</f>
        <v>0.34599999999999997</v>
      </c>
      <c r="D30" s="15" t="s">
        <v>6</v>
      </c>
      <c r="E30" s="14"/>
      <c r="F30" s="14"/>
      <c r="G30" s="14"/>
      <c r="H30" s="14"/>
      <c r="I30" s="17"/>
      <c r="J30" s="18">
        <f t="shared" si="5"/>
        <v>60.69</v>
      </c>
      <c r="K30" s="41">
        <f t="shared" si="6"/>
        <v>9.7979999999999998E-2</v>
      </c>
      <c r="L30" s="61">
        <v>7.0000000000000007E-2</v>
      </c>
      <c r="M30" s="46">
        <f t="shared" si="3"/>
        <v>0.22</v>
      </c>
      <c r="N30" s="17"/>
      <c r="O30" s="17"/>
      <c r="P30" s="18">
        <f t="shared" si="0"/>
        <v>47.475102036667032</v>
      </c>
      <c r="Q30" s="291"/>
      <c r="R30" s="18">
        <f t="shared" si="7"/>
        <v>499.2</v>
      </c>
      <c r="S30" s="3" t="str">
        <f t="shared" si="1"/>
        <v>Growing heifers/steers</v>
      </c>
      <c r="T30" s="34"/>
      <c r="U30" s="68"/>
      <c r="V30" s="43"/>
      <c r="W30" s="43"/>
      <c r="X30" s="43"/>
      <c r="Y30" s="43"/>
    </row>
    <row r="31" spans="1:25" x14ac:dyDescent="0.2">
      <c r="A31" s="13" t="str">
        <f t="shared" si="2"/>
        <v>Replacement/growing</v>
      </c>
      <c r="B31" s="18">
        <f>B39*O39+B46*O46</f>
        <v>302.05898416166031</v>
      </c>
      <c r="C31" s="20">
        <f t="shared" ref="C31:C33" si="8">C39*O39+C46*O46</f>
        <v>0.34019661387220101</v>
      </c>
      <c r="D31" s="15" t="s">
        <v>6</v>
      </c>
      <c r="E31" s="14"/>
      <c r="F31" s="14"/>
      <c r="G31" s="14"/>
      <c r="H31" s="14"/>
      <c r="I31" s="17"/>
      <c r="J31" s="18">
        <f t="shared" si="5"/>
        <v>60.200983069361008</v>
      </c>
      <c r="K31" s="41">
        <f t="shared" si="6"/>
        <v>9.6416712179137082E-2</v>
      </c>
      <c r="L31" s="61">
        <v>7.0000000000000007E-2</v>
      </c>
      <c r="M31" s="46">
        <f t="shared" si="3"/>
        <v>0.18310000000000001</v>
      </c>
      <c r="N31" s="17"/>
      <c r="O31" s="17"/>
      <c r="P31" s="18">
        <f t="shared" si="0"/>
        <v>56.96671752783471</v>
      </c>
      <c r="Q31" s="291"/>
      <c r="R31" s="18">
        <f t="shared" si="7"/>
        <v>498.03932277444022</v>
      </c>
      <c r="S31" s="3" t="str">
        <f t="shared" si="1"/>
        <v>Replacement/growing</v>
      </c>
      <c r="T31" s="34"/>
      <c r="U31" s="68"/>
      <c r="V31" s="43"/>
      <c r="W31" s="43"/>
      <c r="X31" s="43"/>
      <c r="Y31" s="43"/>
    </row>
    <row r="32" spans="1:25" x14ac:dyDescent="0.2">
      <c r="A32" s="13" t="str">
        <f t="shared" si="2"/>
        <v>Calves on milk</v>
      </c>
      <c r="B32" s="18">
        <f t="shared" si="4"/>
        <v>65.804971319311662</v>
      </c>
      <c r="C32" s="20">
        <f t="shared" si="8"/>
        <v>0.35277246653919692</v>
      </c>
      <c r="D32" s="15" t="s">
        <v>6</v>
      </c>
      <c r="E32" s="14"/>
      <c r="F32" s="14"/>
      <c r="G32" s="14"/>
      <c r="H32" s="14"/>
      <c r="I32" s="17"/>
      <c r="J32" s="18">
        <f t="shared" si="5"/>
        <v>95</v>
      </c>
      <c r="K32" s="41">
        <f t="shared" si="6"/>
        <v>9.5000000000000001E-2</v>
      </c>
      <c r="L32" s="61">
        <v>0</v>
      </c>
      <c r="M32" s="46">
        <f t="shared" si="3"/>
        <v>0.10460000000000001</v>
      </c>
      <c r="N32" s="17"/>
      <c r="O32" s="17"/>
      <c r="P32" s="18">
        <f t="shared" si="0"/>
        <v>0</v>
      </c>
      <c r="Q32" s="291"/>
      <c r="R32" s="18">
        <f t="shared" si="7"/>
        <v>185.27724665391969</v>
      </c>
      <c r="S32" s="3" t="str">
        <f t="shared" si="1"/>
        <v>Calves on milk</v>
      </c>
      <c r="T32" s="34"/>
      <c r="U32" s="68"/>
      <c r="V32" s="43"/>
      <c r="W32" s="43"/>
      <c r="X32" s="43"/>
      <c r="Y32" s="43"/>
    </row>
    <row r="33" spans="1:25" x14ac:dyDescent="0.2">
      <c r="A33" s="13" t="str">
        <f t="shared" si="2"/>
        <v>Calves on forage</v>
      </c>
      <c r="B33" s="18">
        <f>B41*O41+B48*O48</f>
        <v>159.51242829827916</v>
      </c>
      <c r="C33" s="20">
        <f t="shared" si="8"/>
        <v>0.35277246653919692</v>
      </c>
      <c r="D33" s="15" t="s">
        <v>6</v>
      </c>
      <c r="E33" s="14"/>
      <c r="F33" s="14"/>
      <c r="G33" s="14"/>
      <c r="H33" s="14"/>
      <c r="I33" s="17"/>
      <c r="J33" s="18">
        <f t="shared" si="5"/>
        <v>60.791586998087951</v>
      </c>
      <c r="K33" s="41">
        <f t="shared" si="6"/>
        <v>0.10017973231357552</v>
      </c>
      <c r="L33" s="61">
        <v>7.0000000000000007E-2</v>
      </c>
      <c r="M33" s="46">
        <f t="shared" si="3"/>
        <v>0.10460000000000001</v>
      </c>
      <c r="N33" s="17"/>
      <c r="O33" s="17"/>
      <c r="P33" s="18">
        <f t="shared" si="0"/>
        <v>38.976697772126627</v>
      </c>
      <c r="Q33" s="291"/>
      <c r="R33" s="18">
        <f t="shared" si="7"/>
        <v>313.19311663479925</v>
      </c>
      <c r="S33" s="3" t="str">
        <f t="shared" si="1"/>
        <v>Calves on forage</v>
      </c>
      <c r="T33" s="34"/>
      <c r="U33" s="68"/>
      <c r="V33" s="43"/>
      <c r="W33" s="43"/>
      <c r="X33" s="43"/>
      <c r="Y33" s="43"/>
    </row>
    <row r="34" spans="1:25" x14ac:dyDescent="0.2">
      <c r="A34" s="13" t="str">
        <f t="shared" si="2"/>
        <v xml:space="preserve">Feedlot cattle </v>
      </c>
      <c r="B34" s="18">
        <f>B49</f>
        <v>460</v>
      </c>
      <c r="C34" s="20">
        <f t="shared" ref="C34" si="9">C42*O42+C49*O49</f>
        <v>0.9</v>
      </c>
      <c r="D34" s="15" t="s">
        <v>13</v>
      </c>
      <c r="E34" s="14"/>
      <c r="F34" s="14"/>
      <c r="G34" s="14"/>
      <c r="H34" s="14"/>
      <c r="I34" s="17"/>
      <c r="J34" s="18">
        <f>J49</f>
        <v>74</v>
      </c>
      <c r="K34" s="41">
        <f>K49</f>
        <v>0.14000000000000001</v>
      </c>
      <c r="L34" s="260">
        <v>0.04</v>
      </c>
      <c r="M34" s="46">
        <f>N49</f>
        <v>9.1999999999999998E-3</v>
      </c>
      <c r="N34" s="17"/>
      <c r="O34" s="17"/>
      <c r="P34" s="18">
        <f>S158</f>
        <v>39.003499084316431</v>
      </c>
      <c r="Q34" s="291"/>
      <c r="R34" s="18">
        <f>R49</f>
        <v>530</v>
      </c>
      <c r="S34" s="3" t="str">
        <f t="shared" si="1"/>
        <v xml:space="preserve">Feedlot cattle </v>
      </c>
      <c r="T34" s="34"/>
      <c r="U34" s="68"/>
      <c r="V34" s="43"/>
      <c r="W34" s="43"/>
      <c r="X34" s="43"/>
      <c r="Y34" s="43"/>
    </row>
    <row r="35" spans="1:25" x14ac:dyDescent="0.2">
      <c r="A35" s="108" t="s">
        <v>73</v>
      </c>
      <c r="B35" s="121">
        <f>SUMPRODUCT(B36:B41,M36:M41)</f>
        <v>295.40000000000003</v>
      </c>
      <c r="C35" s="109"/>
      <c r="D35" s="110"/>
      <c r="E35" s="129"/>
      <c r="F35" s="109"/>
      <c r="G35" s="109"/>
      <c r="H35" s="109"/>
      <c r="I35" s="112"/>
      <c r="J35" s="113"/>
      <c r="K35" s="112"/>
      <c r="L35" s="115"/>
      <c r="M35" s="116">
        <f>SUM(M36:M41)</f>
        <v>1</v>
      </c>
      <c r="N35" s="116">
        <v>0.77</v>
      </c>
      <c r="O35" s="116"/>
      <c r="P35" s="117">
        <f>S166</f>
        <v>57.720783116963013</v>
      </c>
      <c r="Q35" s="245"/>
      <c r="R35" s="113"/>
      <c r="S35" s="1" t="str">
        <f t="shared" si="1"/>
        <v>Latin America_low productivity systems</v>
      </c>
      <c r="T35" s="27"/>
    </row>
    <row r="36" spans="1:25" x14ac:dyDescent="0.2">
      <c r="A36" s="13" t="str">
        <f t="shared" ref="A36:A41" si="10">A43</f>
        <v xml:space="preserve"> Mature Females</v>
      </c>
      <c r="B36" s="14">
        <v>420</v>
      </c>
      <c r="C36" s="14"/>
      <c r="D36" s="15" t="s">
        <v>6</v>
      </c>
      <c r="E36" s="16">
        <v>1.8</v>
      </c>
      <c r="F36" s="14">
        <v>4.3</v>
      </c>
      <c r="G36" s="26">
        <v>3.2000000000000001E-2</v>
      </c>
      <c r="H36" s="14"/>
      <c r="I36" s="17">
        <v>0.59</v>
      </c>
      <c r="J36" s="18">
        <v>59</v>
      </c>
      <c r="K36" s="19">
        <v>9.0999999999999998E-2</v>
      </c>
      <c r="L36" s="61">
        <v>7.0000000000000007E-2</v>
      </c>
      <c r="M36" s="46">
        <v>0.37</v>
      </c>
      <c r="N36" s="36">
        <f>$N$35*M36</f>
        <v>0.28489999999999999</v>
      </c>
      <c r="O36" s="64">
        <f>N36/M28</f>
        <v>0.78963414634146334</v>
      </c>
      <c r="P36" s="18">
        <f>S160</f>
        <v>78.973266277660883</v>
      </c>
      <c r="Q36" s="292"/>
      <c r="R36" s="18">
        <f>B36</f>
        <v>420</v>
      </c>
      <c r="S36" s="3" t="str">
        <f t="shared" si="1"/>
        <v xml:space="preserve"> Mature Females</v>
      </c>
      <c r="T36" s="27"/>
    </row>
    <row r="37" spans="1:25" x14ac:dyDescent="0.2">
      <c r="A37" s="13" t="str">
        <f t="shared" si="10"/>
        <v xml:space="preserve"> Mature Males</v>
      </c>
      <c r="B37" s="14">
        <v>580</v>
      </c>
      <c r="C37" s="14"/>
      <c r="D37" s="15" t="s">
        <v>6</v>
      </c>
      <c r="E37" s="14"/>
      <c r="F37" s="14"/>
      <c r="G37" s="14"/>
      <c r="H37" s="14"/>
      <c r="I37" s="17"/>
      <c r="J37" s="18">
        <v>59</v>
      </c>
      <c r="K37" s="19">
        <v>9.6000000000000002E-2</v>
      </c>
      <c r="L37" s="61">
        <v>7.0000000000000007E-2</v>
      </c>
      <c r="M37" s="46">
        <v>0.02</v>
      </c>
      <c r="N37" s="36">
        <f t="shared" ref="N37:N41" si="11">$N$35*M37</f>
        <v>1.54E-2</v>
      </c>
      <c r="O37" s="64">
        <f t="shared" ref="O37" si="12">N37/M29</f>
        <v>0.87005649717514122</v>
      </c>
      <c r="P37" s="18">
        <f t="shared" ref="P37:P41" si="13">S161</f>
        <v>81.209383116606261</v>
      </c>
      <c r="Q37" s="292"/>
      <c r="R37" s="18">
        <f>B37</f>
        <v>580</v>
      </c>
      <c r="S37" s="3" t="str">
        <f t="shared" si="1"/>
        <v xml:space="preserve"> Mature Males</v>
      </c>
      <c r="T37" s="27"/>
    </row>
    <row r="38" spans="1:25" x14ac:dyDescent="0.2">
      <c r="A38" s="13" t="str">
        <f t="shared" si="10"/>
        <v>Growing heifers/steers</v>
      </c>
      <c r="B38" s="14">
        <v>240</v>
      </c>
      <c r="C38" s="20">
        <v>0.3</v>
      </c>
      <c r="D38" s="15" t="s">
        <v>6</v>
      </c>
      <c r="E38" s="14"/>
      <c r="F38" s="14"/>
      <c r="G38" s="26"/>
      <c r="H38" s="14"/>
      <c r="I38" s="17"/>
      <c r="J38" s="18">
        <v>60</v>
      </c>
      <c r="K38" s="19">
        <v>9.1999999999999998E-2</v>
      </c>
      <c r="L38" s="61">
        <v>7.0000000000000007E-2</v>
      </c>
      <c r="M38" s="46">
        <v>0.22</v>
      </c>
      <c r="N38" s="36">
        <f t="shared" si="11"/>
        <v>0.1694</v>
      </c>
      <c r="O38" s="64">
        <f>N38/M30</f>
        <v>0.77</v>
      </c>
      <c r="P38" s="18">
        <f t="shared" si="13"/>
        <v>46.726151975057441</v>
      </c>
      <c r="Q38" s="292"/>
      <c r="R38" s="18">
        <v>490</v>
      </c>
      <c r="S38" s="3" t="str">
        <f t="shared" si="1"/>
        <v>Growing heifers/steers</v>
      </c>
      <c r="T38" s="27"/>
    </row>
    <row r="39" spans="1:25" x14ac:dyDescent="0.2">
      <c r="A39" s="13" t="str">
        <f t="shared" si="10"/>
        <v>Replacement/growing</v>
      </c>
      <c r="B39" s="14">
        <v>290</v>
      </c>
      <c r="C39" s="20">
        <v>0.3</v>
      </c>
      <c r="D39" s="15" t="s">
        <v>6</v>
      </c>
      <c r="E39" s="14"/>
      <c r="F39" s="14"/>
      <c r="G39" s="26"/>
      <c r="H39" s="14"/>
      <c r="I39" s="17"/>
      <c r="J39" s="18">
        <v>60</v>
      </c>
      <c r="K39" s="19">
        <v>9.2999999999999999E-2</v>
      </c>
      <c r="L39" s="61">
        <v>7.0000000000000007E-2</v>
      </c>
      <c r="M39" s="46">
        <v>0.19</v>
      </c>
      <c r="N39" s="36">
        <f t="shared" si="11"/>
        <v>0.14630000000000001</v>
      </c>
      <c r="O39" s="64">
        <f>N39/M31</f>
        <v>0.79901693063899515</v>
      </c>
      <c r="P39" s="18">
        <f t="shared" si="13"/>
        <v>53.851782654384351</v>
      </c>
      <c r="Q39" s="292"/>
      <c r="R39" s="18">
        <v>490</v>
      </c>
      <c r="S39" s="3" t="str">
        <f t="shared" si="1"/>
        <v>Replacement/growing</v>
      </c>
      <c r="T39" s="27"/>
    </row>
    <row r="40" spans="1:25" x14ac:dyDescent="0.2">
      <c r="A40" s="13" t="str">
        <f t="shared" si="10"/>
        <v>Calves on milk</v>
      </c>
      <c r="B40" s="14">
        <v>60</v>
      </c>
      <c r="C40" s="20">
        <v>0.3</v>
      </c>
      <c r="D40" s="15" t="s">
        <v>6</v>
      </c>
      <c r="E40" s="14"/>
      <c r="F40" s="14"/>
      <c r="G40" s="26"/>
      <c r="H40" s="14"/>
      <c r="I40" s="17"/>
      <c r="J40" s="18">
        <v>95</v>
      </c>
      <c r="K40" s="19">
        <v>9.5000000000000001E-2</v>
      </c>
      <c r="L40" s="61">
        <v>0</v>
      </c>
      <c r="M40" s="46">
        <v>0.1</v>
      </c>
      <c r="N40" s="36">
        <f t="shared" si="11"/>
        <v>7.7000000000000013E-2</v>
      </c>
      <c r="O40" s="64">
        <f>N40/M32</f>
        <v>0.73613766730401531</v>
      </c>
      <c r="P40" s="18">
        <f t="shared" si="13"/>
        <v>0</v>
      </c>
      <c r="Q40" s="292"/>
      <c r="R40" s="18">
        <v>180</v>
      </c>
      <c r="S40" s="3" t="str">
        <f t="shared" si="1"/>
        <v>Calves on milk</v>
      </c>
      <c r="T40" s="27"/>
    </row>
    <row r="41" spans="1:25" x14ac:dyDescent="0.2">
      <c r="A41" s="13" t="str">
        <f t="shared" si="10"/>
        <v>Calves on forage</v>
      </c>
      <c r="B41" s="14">
        <v>145</v>
      </c>
      <c r="C41" s="20">
        <v>0.3</v>
      </c>
      <c r="D41" s="15" t="s">
        <v>6</v>
      </c>
      <c r="E41" s="14"/>
      <c r="F41" s="14"/>
      <c r="G41" s="26"/>
      <c r="H41" s="14"/>
      <c r="I41" s="17"/>
      <c r="J41" s="18">
        <v>60</v>
      </c>
      <c r="K41" s="19">
        <v>9.1999999999999998E-2</v>
      </c>
      <c r="L41" s="61">
        <v>7.0000000000000007E-2</v>
      </c>
      <c r="M41" s="46">
        <v>0.1</v>
      </c>
      <c r="N41" s="36">
        <f t="shared" si="11"/>
        <v>7.7000000000000013E-2</v>
      </c>
      <c r="O41" s="64">
        <f>N41/M33</f>
        <v>0.73613766730401531</v>
      </c>
      <c r="P41" s="18">
        <f t="shared" si="13"/>
        <v>35.431828617220887</v>
      </c>
      <c r="Q41" s="292"/>
      <c r="R41" s="18">
        <v>300</v>
      </c>
      <c r="S41" s="3" t="str">
        <f t="shared" si="1"/>
        <v>Calves on forage</v>
      </c>
      <c r="T41" s="27"/>
    </row>
    <row r="42" spans="1:25" x14ac:dyDescent="0.2">
      <c r="A42" s="108" t="s">
        <v>72</v>
      </c>
      <c r="B42" s="121">
        <f>SUMPRODUCT(B43:B49,M43:M49)</f>
        <v>328.68999999999994</v>
      </c>
      <c r="C42" s="109"/>
      <c r="D42" s="110"/>
      <c r="E42" s="109"/>
      <c r="F42" s="109"/>
      <c r="G42" s="109"/>
      <c r="H42" s="109"/>
      <c r="I42" s="112"/>
      <c r="J42" s="113"/>
      <c r="K42" s="112"/>
      <c r="L42" s="115"/>
      <c r="M42" s="116">
        <f>SUM(M43:M49)</f>
        <v>1</v>
      </c>
      <c r="N42" s="116">
        <v>0.23</v>
      </c>
      <c r="O42" s="116">
        <f>SUM(N43:N49)</f>
        <v>0.22999999999999998</v>
      </c>
      <c r="P42" s="117">
        <f t="shared" ref="P42" si="14">S159</f>
        <v>54.899071185634405</v>
      </c>
      <c r="Q42" s="292"/>
      <c r="R42" s="113"/>
      <c r="S42" s="1" t="str">
        <f t="shared" si="1"/>
        <v>Latin America_high productivity systems</v>
      </c>
      <c r="T42" s="27"/>
    </row>
    <row r="43" spans="1:25" x14ac:dyDescent="0.2">
      <c r="A43" s="13" t="s">
        <v>16</v>
      </c>
      <c r="B43" s="14">
        <v>490</v>
      </c>
      <c r="C43" s="14"/>
      <c r="D43" s="15" t="s">
        <v>6</v>
      </c>
      <c r="E43" s="16">
        <v>2.7</v>
      </c>
      <c r="F43" s="14">
        <v>4.2</v>
      </c>
      <c r="G43" s="19">
        <v>3.2000000000000001E-2</v>
      </c>
      <c r="H43" s="14"/>
      <c r="I43" s="17">
        <v>0.78</v>
      </c>
      <c r="J43" s="18">
        <v>61</v>
      </c>
      <c r="K43" s="19">
        <v>0.112</v>
      </c>
      <c r="L43" s="61">
        <v>7.0000000000000007E-2</v>
      </c>
      <c r="M43" s="46">
        <v>0.33</v>
      </c>
      <c r="N43" s="36">
        <f>$N$42*M43</f>
        <v>7.5900000000000009E-2</v>
      </c>
      <c r="O43" s="64">
        <f>N43/M28</f>
        <v>0.21036585365853661</v>
      </c>
      <c r="P43" s="18">
        <f>S167</f>
        <v>88.520879397589241</v>
      </c>
      <c r="Q43" s="245"/>
      <c r="R43" s="18">
        <f>B43</f>
        <v>490</v>
      </c>
      <c r="S43" s="3" t="str">
        <f t="shared" si="1"/>
        <v xml:space="preserve"> Mature Females</v>
      </c>
      <c r="T43" s="27"/>
    </row>
    <row r="44" spans="1:25" x14ac:dyDescent="0.2">
      <c r="A44" s="13" t="s">
        <v>18</v>
      </c>
      <c r="B44" s="14">
        <v>595</v>
      </c>
      <c r="C44" s="14"/>
      <c r="D44" s="15" t="s">
        <v>6</v>
      </c>
      <c r="E44" s="16"/>
      <c r="F44" s="14"/>
      <c r="G44" s="14"/>
      <c r="H44" s="14"/>
      <c r="I44" s="17"/>
      <c r="J44" s="18">
        <v>61</v>
      </c>
      <c r="K44" s="19">
        <v>0.112</v>
      </c>
      <c r="L44" s="61">
        <v>7.0000000000000007E-2</v>
      </c>
      <c r="M44" s="46">
        <v>0.01</v>
      </c>
      <c r="N44" s="244">
        <f t="shared" ref="N44:N49" si="15">$N$42*M44</f>
        <v>2.3E-3</v>
      </c>
      <c r="O44" s="64">
        <f t="shared" ref="O44:O48" si="16">N44/M29</f>
        <v>0.12994350282485875</v>
      </c>
      <c r="P44" s="18">
        <f t="shared" ref="P44:P49" si="17">S168</f>
        <v>78.679897487688336</v>
      </c>
      <c r="Q44" s="245"/>
      <c r="R44" s="18">
        <f>B44</f>
        <v>595</v>
      </c>
      <c r="S44" s="3" t="str">
        <f t="shared" si="1"/>
        <v xml:space="preserve"> Mature Males</v>
      </c>
      <c r="T44" s="27"/>
    </row>
    <row r="45" spans="1:25" x14ac:dyDescent="0.2">
      <c r="A45" s="13" t="s">
        <v>10</v>
      </c>
      <c r="B45" s="14">
        <v>240</v>
      </c>
      <c r="C45" s="20">
        <v>0.5</v>
      </c>
      <c r="D45" s="15" t="s">
        <v>6</v>
      </c>
      <c r="E45" s="16"/>
      <c r="F45" s="14"/>
      <c r="G45" s="14"/>
      <c r="H45" s="14"/>
      <c r="I45" s="17"/>
      <c r="J45" s="18">
        <v>63</v>
      </c>
      <c r="K45" s="19">
        <v>0.11799999999999999</v>
      </c>
      <c r="L45" s="61">
        <v>6.3E-2</v>
      </c>
      <c r="M45" s="46">
        <v>0.22</v>
      </c>
      <c r="N45" s="36">
        <f t="shared" si="15"/>
        <v>5.0599999999999999E-2</v>
      </c>
      <c r="O45" s="64">
        <f t="shared" si="16"/>
        <v>0.22999999999999998</v>
      </c>
      <c r="P45" s="18">
        <f t="shared" si="17"/>
        <v>44.560427955651797</v>
      </c>
      <c r="Q45" s="245"/>
      <c r="R45" s="18">
        <v>530</v>
      </c>
      <c r="S45" s="3" t="str">
        <f t="shared" si="1"/>
        <v>Growing heifers/steers</v>
      </c>
      <c r="T45" s="27"/>
    </row>
    <row r="46" spans="1:25" x14ac:dyDescent="0.2">
      <c r="A46" s="13" t="s">
        <v>11</v>
      </c>
      <c r="B46" s="14">
        <v>350</v>
      </c>
      <c r="C46" s="20">
        <v>0.5</v>
      </c>
      <c r="D46" s="15" t="s">
        <v>6</v>
      </c>
      <c r="E46" s="16"/>
      <c r="F46" s="14"/>
      <c r="G46" s="14"/>
      <c r="H46" s="14"/>
      <c r="I46" s="17"/>
      <c r="J46" s="18">
        <v>61</v>
      </c>
      <c r="K46" s="19">
        <v>0.11</v>
      </c>
      <c r="L46" s="61">
        <v>7.0000000000000007E-2</v>
      </c>
      <c r="M46" s="46">
        <v>0.16</v>
      </c>
      <c r="N46" s="36">
        <f t="shared" si="15"/>
        <v>3.6799999999999999E-2</v>
      </c>
      <c r="O46" s="64">
        <f t="shared" si="16"/>
        <v>0.20098306936100491</v>
      </c>
      <c r="P46" s="18">
        <f t="shared" si="17"/>
        <v>69.551936841836564</v>
      </c>
      <c r="Q46" s="245"/>
      <c r="R46" s="18">
        <v>530</v>
      </c>
      <c r="S46" s="3" t="str">
        <f t="shared" si="1"/>
        <v>Replacement/growing</v>
      </c>
      <c r="T46" s="27"/>
    </row>
    <row r="47" spans="1:25" x14ac:dyDescent="0.2">
      <c r="A47" s="13" t="s">
        <v>8</v>
      </c>
      <c r="B47" s="14">
        <v>82</v>
      </c>
      <c r="C47" s="20">
        <v>0.5</v>
      </c>
      <c r="D47" s="15" t="s">
        <v>6</v>
      </c>
      <c r="E47" s="16"/>
      <c r="F47" s="14"/>
      <c r="G47" s="14"/>
      <c r="H47" s="14"/>
      <c r="I47" s="17"/>
      <c r="J47" s="18">
        <v>95</v>
      </c>
      <c r="K47" s="19">
        <v>9.5000000000000001E-2</v>
      </c>
      <c r="L47" s="61">
        <v>0</v>
      </c>
      <c r="M47" s="46">
        <v>0.12</v>
      </c>
      <c r="N47" s="36">
        <f>$N$42*M47</f>
        <v>2.76E-2</v>
      </c>
      <c r="O47" s="64">
        <f t="shared" si="16"/>
        <v>0.26386233269598469</v>
      </c>
      <c r="P47" s="18">
        <f t="shared" si="17"/>
        <v>0</v>
      </c>
      <c r="Q47" s="245"/>
      <c r="R47" s="18">
        <v>200</v>
      </c>
      <c r="S47" s="3" t="str">
        <f t="shared" si="1"/>
        <v>Calves on milk</v>
      </c>
      <c r="T47" s="27"/>
    </row>
    <row r="48" spans="1:25" x14ac:dyDescent="0.2">
      <c r="A48" s="13" t="s">
        <v>9</v>
      </c>
      <c r="B48" s="14">
        <v>200</v>
      </c>
      <c r="C48" s="20">
        <v>0.5</v>
      </c>
      <c r="D48" s="15" t="s">
        <v>6</v>
      </c>
      <c r="E48" s="16"/>
      <c r="F48" s="14"/>
      <c r="G48" s="14"/>
      <c r="H48" s="14"/>
      <c r="I48" s="17"/>
      <c r="J48" s="18">
        <v>63</v>
      </c>
      <c r="K48" s="19">
        <v>0.123</v>
      </c>
      <c r="L48" s="61">
        <v>6.3E-2</v>
      </c>
      <c r="M48" s="46">
        <v>0.12</v>
      </c>
      <c r="N48" s="36">
        <f t="shared" si="15"/>
        <v>2.76E-2</v>
      </c>
      <c r="O48" s="64">
        <f t="shared" si="16"/>
        <v>0.26386233269598469</v>
      </c>
      <c r="P48" s="18">
        <f t="shared" si="17"/>
        <v>43.586249438098172</v>
      </c>
      <c r="Q48" s="245"/>
      <c r="R48" s="18">
        <v>350</v>
      </c>
      <c r="S48" s="3" t="str">
        <f t="shared" si="1"/>
        <v>Calves on forage</v>
      </c>
      <c r="T48" s="27"/>
    </row>
    <row r="49" spans="1:22" x14ac:dyDescent="0.2">
      <c r="A49" s="13" t="s">
        <v>68</v>
      </c>
      <c r="B49" s="14">
        <v>460</v>
      </c>
      <c r="C49" s="20">
        <v>0.9</v>
      </c>
      <c r="D49" s="15" t="s">
        <v>13</v>
      </c>
      <c r="E49" s="16"/>
      <c r="F49" s="14"/>
      <c r="G49" s="14"/>
      <c r="H49" s="14"/>
      <c r="I49" s="17"/>
      <c r="J49" s="18">
        <v>74</v>
      </c>
      <c r="K49" s="19">
        <v>0.14000000000000001</v>
      </c>
      <c r="L49" s="260">
        <v>0.04</v>
      </c>
      <c r="M49" s="46">
        <v>0.04</v>
      </c>
      <c r="N49" s="36">
        <f t="shared" si="15"/>
        <v>9.1999999999999998E-3</v>
      </c>
      <c r="O49" s="36">
        <v>1</v>
      </c>
      <c r="P49" s="18">
        <f t="shared" si="17"/>
        <v>39.003499084316431</v>
      </c>
      <c r="Q49" s="245"/>
      <c r="R49" s="18">
        <v>530</v>
      </c>
      <c r="S49" s="3" t="str">
        <f t="shared" si="1"/>
        <v xml:space="preserve">Feedlot cattle </v>
      </c>
      <c r="T49" s="27"/>
    </row>
    <row r="50" spans="1:22" x14ac:dyDescent="0.2">
      <c r="A50" s="76" t="s">
        <v>51</v>
      </c>
      <c r="B50" s="103">
        <f>SUMPRODUCT(B51:B56,M51:M56)</f>
        <v>298.59974999999997</v>
      </c>
      <c r="C50" s="77"/>
      <c r="D50" s="77"/>
      <c r="E50" s="77"/>
      <c r="F50" s="77"/>
      <c r="G50" s="77"/>
      <c r="H50" s="77"/>
      <c r="I50" s="77"/>
      <c r="J50" s="79"/>
      <c r="K50" s="79"/>
      <c r="L50" s="80"/>
      <c r="M50" s="101">
        <f>SUM(M51:M56)</f>
        <v>1</v>
      </c>
      <c r="N50" s="102"/>
      <c r="O50" s="102"/>
      <c r="P50" s="103">
        <f t="shared" ref="P50:P81" si="18">S174</f>
        <v>54.046529535349563</v>
      </c>
      <c r="Q50" s="246"/>
      <c r="R50" s="77"/>
      <c r="S50" s="1" t="str">
        <f t="shared" si="1"/>
        <v>Asia</v>
      </c>
      <c r="T50" s="67"/>
    </row>
    <row r="51" spans="1:22" x14ac:dyDescent="0.2">
      <c r="A51" s="9" t="s">
        <v>5</v>
      </c>
      <c r="B51" s="38">
        <f>B58*O58+B65*O65</f>
        <v>375.52646035524629</v>
      </c>
      <c r="C51" s="9"/>
      <c r="D51" s="10" t="s">
        <v>13</v>
      </c>
      <c r="E51" s="37">
        <f>E58*O58+E65*O65</f>
        <v>1.5276323017762314</v>
      </c>
      <c r="F51" s="10">
        <f>F58*O58+F65*O65</f>
        <v>4.7</v>
      </c>
      <c r="G51" s="39">
        <f>(G58*O58+G65*O65)</f>
        <v>3.3000000000000002E-2</v>
      </c>
      <c r="H51" s="10">
        <v>1.1000000000000001</v>
      </c>
      <c r="I51" s="70">
        <f>I58*O58+I65*O65</f>
        <v>0.50210584142098524</v>
      </c>
      <c r="J51" s="38">
        <f>J58*O58+J65*O65</f>
        <v>61.29738143197217</v>
      </c>
      <c r="K51" s="39">
        <f>K58*O58+K65*O65</f>
        <v>0.10638161508881158</v>
      </c>
      <c r="L51" s="62">
        <v>7.0000000000000007E-2</v>
      </c>
      <c r="M51" s="47">
        <f>N65+N58</f>
        <v>0.27304999999999996</v>
      </c>
      <c r="N51" s="36"/>
      <c r="O51" s="36"/>
      <c r="P51" s="38">
        <f t="shared" si="18"/>
        <v>64.881716770576134</v>
      </c>
      <c r="Q51" s="291"/>
      <c r="R51" s="38">
        <f>B51</f>
        <v>375.52646035524629</v>
      </c>
      <c r="S51" s="3" t="str">
        <f t="shared" si="1"/>
        <v>Mature Females</v>
      </c>
    </row>
    <row r="52" spans="1:22" x14ac:dyDescent="0.2">
      <c r="A52" s="9" t="s">
        <v>66</v>
      </c>
      <c r="B52" s="38">
        <f>B59</f>
        <v>305</v>
      </c>
      <c r="C52" s="9"/>
      <c r="D52" s="10" t="s">
        <v>6</v>
      </c>
      <c r="E52" s="10">
        <f>E59</f>
        <v>1.4</v>
      </c>
      <c r="F52" s="10">
        <f>F59</f>
        <v>4.7</v>
      </c>
      <c r="G52" s="39">
        <f>G59</f>
        <v>3.3000000000000002E-2</v>
      </c>
      <c r="H52" s="10"/>
      <c r="I52" s="36">
        <f>I59</f>
        <v>0.65</v>
      </c>
      <c r="J52" s="38">
        <f>J59</f>
        <v>59</v>
      </c>
      <c r="K52" s="39">
        <f>K59</f>
        <v>0.1</v>
      </c>
      <c r="L52" s="62">
        <v>7.0000000000000007E-2</v>
      </c>
      <c r="M52" s="47">
        <f>N59</f>
        <v>8.7149999999999991E-2</v>
      </c>
      <c r="N52" s="36"/>
      <c r="O52" s="36"/>
      <c r="P52" s="38">
        <f t="shared" si="18"/>
        <v>62.668103477268033</v>
      </c>
      <c r="Q52" s="291"/>
      <c r="R52" s="38">
        <f>B52</f>
        <v>305</v>
      </c>
      <c r="S52" s="3" t="str">
        <f t="shared" si="1"/>
        <v>Mature Females - grazing</v>
      </c>
    </row>
    <row r="53" spans="1:22" x14ac:dyDescent="0.2">
      <c r="A53" s="9" t="s">
        <v>7</v>
      </c>
      <c r="B53" s="38">
        <f>B60*O60+B66*O66</f>
        <v>501.14362596703666</v>
      </c>
      <c r="C53" s="9"/>
      <c r="D53" s="10" t="s">
        <v>13</v>
      </c>
      <c r="E53" s="9"/>
      <c r="F53" s="9"/>
      <c r="G53" s="9"/>
      <c r="H53" s="10">
        <v>1.1000000000000001</v>
      </c>
      <c r="I53" s="10"/>
      <c r="J53" s="38">
        <f>J60*O60+J66*O66</f>
        <v>57.251597712748058</v>
      </c>
      <c r="K53" s="39">
        <f>K60*O60+K66*O66</f>
        <v>0.10057181298351833</v>
      </c>
      <c r="L53" s="62">
        <v>7.0000000000000007E-2</v>
      </c>
      <c r="M53" s="47">
        <f>N60+N66</f>
        <v>0.14865</v>
      </c>
      <c r="N53" s="36"/>
      <c r="O53" s="36"/>
      <c r="P53" s="38">
        <f t="shared" si="18"/>
        <v>72.378095139982889</v>
      </c>
      <c r="Q53" s="291"/>
      <c r="R53" s="38">
        <f>B53</f>
        <v>501.14362596703666</v>
      </c>
      <c r="S53" s="3" t="str">
        <f t="shared" si="1"/>
        <v>Mature Males</v>
      </c>
    </row>
    <row r="54" spans="1:22" x14ac:dyDescent="0.2">
      <c r="A54" s="9" t="s">
        <v>67</v>
      </c>
      <c r="B54" s="38">
        <f>B61</f>
        <v>430</v>
      </c>
      <c r="C54" s="9"/>
      <c r="D54" s="10" t="s">
        <v>6</v>
      </c>
      <c r="E54" s="9"/>
      <c r="F54" s="9"/>
      <c r="G54" s="9"/>
      <c r="H54" s="10"/>
      <c r="I54" s="10"/>
      <c r="J54" s="38">
        <f>J61</f>
        <v>57</v>
      </c>
      <c r="K54" s="39">
        <f>K61</f>
        <v>0.1</v>
      </c>
      <c r="L54" s="62">
        <v>7.0000000000000007E-2</v>
      </c>
      <c r="M54" s="47">
        <f>N61</f>
        <v>6.2249999999999993E-2</v>
      </c>
      <c r="N54" s="36"/>
      <c r="O54" s="36"/>
      <c r="P54" s="38">
        <f t="shared" si="18"/>
        <v>68.492412359422673</v>
      </c>
      <c r="Q54" s="291"/>
      <c r="R54" s="10">
        <f>B54</f>
        <v>430</v>
      </c>
      <c r="S54" s="3" t="str">
        <f t="shared" si="1"/>
        <v>Mature Males - grazing</v>
      </c>
    </row>
    <row r="55" spans="1:22" x14ac:dyDescent="0.2">
      <c r="A55" s="9" t="str">
        <f>A62</f>
        <v>Growing/Replacement</v>
      </c>
      <c r="B55" s="38">
        <f>B62*O62+B67*O67</f>
        <v>207.20797158642461</v>
      </c>
      <c r="C55" s="11">
        <f>C62*O62+C67*O67</f>
        <v>0.27717048145224937</v>
      </c>
      <c r="D55" s="10" t="s">
        <v>6</v>
      </c>
      <c r="E55" s="9"/>
      <c r="F55" s="9"/>
      <c r="G55" s="9"/>
      <c r="H55" s="10"/>
      <c r="I55" s="10"/>
      <c r="J55" s="38">
        <f>J62*O62+J67*O67</f>
        <v>60.630228887134962</v>
      </c>
      <c r="K55" s="39">
        <f>K62*O62+K67*O67</f>
        <v>0.1045284135753749</v>
      </c>
      <c r="L55" s="62">
        <v>7.0000000000000007E-2</v>
      </c>
      <c r="M55" s="47">
        <f>N62+N67</f>
        <v>0.25340000000000001</v>
      </c>
      <c r="N55" s="36"/>
      <c r="O55" s="36"/>
      <c r="P55" s="38">
        <f t="shared" si="18"/>
        <v>44.349470567155841</v>
      </c>
      <c r="Q55" s="291"/>
      <c r="R55" s="38">
        <f>R62*O62+R67*O67</f>
        <v>268.11365430149959</v>
      </c>
      <c r="S55" s="3" t="str">
        <f t="shared" si="1"/>
        <v>Growing/Replacement</v>
      </c>
    </row>
    <row r="56" spans="1:22" x14ac:dyDescent="0.2">
      <c r="A56" s="9" t="str">
        <f>A63</f>
        <v>Calves on forage</v>
      </c>
      <c r="B56" s="38">
        <f>B63*O63+B68*O68</f>
        <v>89.529914529914521</v>
      </c>
      <c r="C56" s="11">
        <f>C63*O63+C68*O68</f>
        <v>0.35811965811965807</v>
      </c>
      <c r="D56" s="10" t="s">
        <v>6</v>
      </c>
      <c r="E56" s="9"/>
      <c r="F56" s="9"/>
      <c r="G56" s="9"/>
      <c r="H56" s="10"/>
      <c r="I56" s="10"/>
      <c r="J56" s="38">
        <f>J63*O63+J68*O68</f>
        <v>61.615384615384613</v>
      </c>
      <c r="K56" s="39">
        <f>K63*O63+K68*O68</f>
        <v>0.10726495726495727</v>
      </c>
      <c r="L56" s="62">
        <v>6.3E-2</v>
      </c>
      <c r="M56" s="47">
        <f>N63+N68</f>
        <v>0.17549999999999999</v>
      </c>
      <c r="N56" s="36"/>
      <c r="O56" s="36"/>
      <c r="P56" s="38">
        <f t="shared" si="18"/>
        <v>26.257773216239542</v>
      </c>
      <c r="Q56" s="291"/>
      <c r="R56" s="38">
        <f>R63*O63+R68*O68</f>
        <v>164.87179487179486</v>
      </c>
      <c r="S56" s="3" t="str">
        <f t="shared" si="1"/>
        <v>Calves on forage</v>
      </c>
    </row>
    <row r="57" spans="1:22" x14ac:dyDescent="0.2">
      <c r="A57" s="122" t="s">
        <v>74</v>
      </c>
      <c r="B57" s="247">
        <f>SUMPRODUCT(B58:B63,M58:M63)</f>
        <v>296.27499999999998</v>
      </c>
      <c r="C57" s="123"/>
      <c r="D57" s="123"/>
      <c r="E57" s="123"/>
      <c r="F57" s="123"/>
      <c r="G57" s="123"/>
      <c r="H57" s="123"/>
      <c r="I57" s="123"/>
      <c r="J57" s="123"/>
      <c r="K57" s="293"/>
      <c r="L57" s="125"/>
      <c r="M57" s="126">
        <f>SUM(M58:M63)</f>
        <v>0.99999999999999989</v>
      </c>
      <c r="N57" s="127">
        <v>0.83</v>
      </c>
      <c r="O57" s="127"/>
      <c r="P57" s="247">
        <f t="shared" si="18"/>
        <v>53.829207996484172</v>
      </c>
      <c r="Q57" s="43"/>
      <c r="R57" s="123"/>
      <c r="S57" s="1" t="str">
        <f t="shared" si="1"/>
        <v>Asia_low productivity systems</v>
      </c>
    </row>
    <row r="58" spans="1:22" x14ac:dyDescent="0.2">
      <c r="A58" s="13" t="s">
        <v>19</v>
      </c>
      <c r="B58" s="14">
        <v>350</v>
      </c>
      <c r="C58" s="14"/>
      <c r="D58" s="15" t="s">
        <v>13</v>
      </c>
      <c r="E58" s="14">
        <v>1.4</v>
      </c>
      <c r="F58" s="14">
        <v>4.7</v>
      </c>
      <c r="G58" s="19">
        <v>3.3000000000000002E-2</v>
      </c>
      <c r="H58" s="14">
        <v>1.1000000000000001</v>
      </c>
      <c r="I58" s="17">
        <v>0.4</v>
      </c>
      <c r="J58" s="18">
        <v>59</v>
      </c>
      <c r="K58" s="41">
        <v>0.1</v>
      </c>
      <c r="L58" s="62">
        <v>7.0000000000000007E-2</v>
      </c>
      <c r="M58" s="46">
        <f>0.35*70%</f>
        <v>0.24499999999999997</v>
      </c>
      <c r="N58" s="36">
        <f>$N$57*M58</f>
        <v>0.20334999999999998</v>
      </c>
      <c r="O58" s="64">
        <f>N58/M51</f>
        <v>0.74473539644753706</v>
      </c>
      <c r="P58" s="18">
        <f t="shared" si="18"/>
        <v>64.458543439723911</v>
      </c>
      <c r="R58" s="10">
        <f>B58</f>
        <v>350</v>
      </c>
      <c r="S58" s="3" t="str">
        <f t="shared" si="1"/>
        <v xml:space="preserve"> Mature Females-Farming</v>
      </c>
      <c r="U58" s="68"/>
      <c r="V58" s="43"/>
    </row>
    <row r="59" spans="1:22" x14ac:dyDescent="0.2">
      <c r="A59" s="13" t="s">
        <v>20</v>
      </c>
      <c r="B59" s="14">
        <v>305</v>
      </c>
      <c r="C59" s="14"/>
      <c r="D59" s="15" t="s">
        <v>6</v>
      </c>
      <c r="E59" s="14">
        <v>1.4</v>
      </c>
      <c r="F59" s="14">
        <v>4.7</v>
      </c>
      <c r="G59" s="19">
        <v>3.3000000000000002E-2</v>
      </c>
      <c r="H59" s="14"/>
      <c r="I59" s="17">
        <v>0.65</v>
      </c>
      <c r="J59" s="18">
        <v>59</v>
      </c>
      <c r="K59" s="41">
        <v>0.1</v>
      </c>
      <c r="L59" s="62">
        <v>7.0000000000000007E-2</v>
      </c>
      <c r="M59" s="46">
        <f>0.35*30%</f>
        <v>0.105</v>
      </c>
      <c r="N59" s="36">
        <f t="shared" ref="N59:N63" si="19">$N$57*M59</f>
        <v>8.7149999999999991E-2</v>
      </c>
      <c r="O59" s="64">
        <v>1</v>
      </c>
      <c r="P59" s="18">
        <f t="shared" si="18"/>
        <v>62.668103477268033</v>
      </c>
      <c r="R59" s="10">
        <f>B59</f>
        <v>305</v>
      </c>
      <c r="S59" s="3" t="str">
        <f t="shared" si="1"/>
        <v xml:space="preserve"> Mature Females-Grazing</v>
      </c>
      <c r="U59" s="68"/>
      <c r="V59" s="43"/>
    </row>
    <row r="60" spans="1:22" x14ac:dyDescent="0.2">
      <c r="A60" s="13" t="s">
        <v>21</v>
      </c>
      <c r="B60" s="14">
        <v>500</v>
      </c>
      <c r="C60" s="14"/>
      <c r="D60" s="15" t="s">
        <v>13</v>
      </c>
      <c r="E60" s="14"/>
      <c r="F60" s="14"/>
      <c r="G60" s="19"/>
      <c r="H60" s="14">
        <v>1.1000000000000001</v>
      </c>
      <c r="I60" s="17"/>
      <c r="J60" s="18">
        <v>57</v>
      </c>
      <c r="K60" s="41">
        <v>0.1</v>
      </c>
      <c r="L60" s="62">
        <v>7.0000000000000007E-2</v>
      </c>
      <c r="M60" s="46">
        <f>25%*0.7</f>
        <v>0.17499999999999999</v>
      </c>
      <c r="N60" s="36">
        <f t="shared" si="19"/>
        <v>0.14524999999999999</v>
      </c>
      <c r="O60" s="64">
        <f>N60/M53</f>
        <v>0.97712748065926669</v>
      </c>
      <c r="P60" s="18">
        <f t="shared" si="18"/>
        <v>63.322767737552887</v>
      </c>
      <c r="R60" s="10">
        <f>B60</f>
        <v>500</v>
      </c>
      <c r="S60" s="3" t="str">
        <f t="shared" si="1"/>
        <v xml:space="preserve"> Mature Males-Farming</v>
      </c>
      <c r="U60" s="68"/>
      <c r="V60" s="43"/>
    </row>
    <row r="61" spans="1:22" x14ac:dyDescent="0.2">
      <c r="A61" s="13" t="s">
        <v>22</v>
      </c>
      <c r="B61" s="14">
        <v>430</v>
      </c>
      <c r="C61" s="14"/>
      <c r="D61" s="15" t="s">
        <v>6</v>
      </c>
      <c r="E61" s="14"/>
      <c r="F61" s="14"/>
      <c r="G61" s="19"/>
      <c r="H61" s="14"/>
      <c r="I61" s="17"/>
      <c r="J61" s="18">
        <v>57</v>
      </c>
      <c r="K61" s="41">
        <v>0.1</v>
      </c>
      <c r="L61" s="62">
        <v>7.0000000000000007E-2</v>
      </c>
      <c r="M61" s="46">
        <f>25%*0.3</f>
        <v>7.4999999999999997E-2</v>
      </c>
      <c r="N61" s="36">
        <f t="shared" si="19"/>
        <v>6.2249999999999993E-2</v>
      </c>
      <c r="O61" s="64">
        <v>1</v>
      </c>
      <c r="P61" s="18">
        <f t="shared" si="18"/>
        <v>68.492412359422673</v>
      </c>
      <c r="R61" s="10">
        <f>B61</f>
        <v>430</v>
      </c>
      <c r="S61" s="3" t="str">
        <f t="shared" si="1"/>
        <v xml:space="preserve"> Mature Males-Grazing</v>
      </c>
      <c r="U61" s="68"/>
      <c r="V61" s="43"/>
    </row>
    <row r="62" spans="1:22" x14ac:dyDescent="0.2">
      <c r="A62" s="13" t="str">
        <f>A67</f>
        <v>Growing/Replacement</v>
      </c>
      <c r="B62" s="14">
        <v>190</v>
      </c>
      <c r="C62" s="14">
        <v>0.25</v>
      </c>
      <c r="D62" s="15" t="s">
        <v>6</v>
      </c>
      <c r="E62" s="14"/>
      <c r="F62" s="14"/>
      <c r="G62" s="19"/>
      <c r="H62" s="14"/>
      <c r="I62" s="17"/>
      <c r="J62" s="18">
        <v>59</v>
      </c>
      <c r="K62" s="41">
        <v>0.1</v>
      </c>
      <c r="L62" s="62">
        <v>7.0000000000000007E-2</v>
      </c>
      <c r="M62" s="46">
        <v>0.25</v>
      </c>
      <c r="N62" s="36">
        <f t="shared" si="19"/>
        <v>0.20749999999999999</v>
      </c>
      <c r="O62" s="64">
        <f>N62/M55</f>
        <v>0.81886345698500385</v>
      </c>
      <c r="P62" s="18">
        <f t="shared" si="18"/>
        <v>43.889893085679311</v>
      </c>
      <c r="R62" s="10">
        <v>250</v>
      </c>
      <c r="S62" s="3" t="str">
        <f t="shared" si="1"/>
        <v>Growing/Replacement</v>
      </c>
      <c r="U62" s="68"/>
      <c r="V62" s="43"/>
    </row>
    <row r="63" spans="1:22" x14ac:dyDescent="0.2">
      <c r="A63" s="13" t="str">
        <f>A68</f>
        <v>Calves on forage</v>
      </c>
      <c r="B63" s="14">
        <v>75</v>
      </c>
      <c r="C63" s="20">
        <v>0.3</v>
      </c>
      <c r="D63" s="15" t="s">
        <v>6</v>
      </c>
      <c r="E63" s="14"/>
      <c r="F63" s="14"/>
      <c r="G63" s="19"/>
      <c r="H63" s="14"/>
      <c r="I63" s="17"/>
      <c r="J63" s="18">
        <v>59</v>
      </c>
      <c r="K63" s="41">
        <v>0.1</v>
      </c>
      <c r="L63" s="62">
        <v>7.0000000000000007E-2</v>
      </c>
      <c r="M63" s="46">
        <v>0.15</v>
      </c>
      <c r="N63" s="36">
        <f t="shared" si="19"/>
        <v>0.12449999999999999</v>
      </c>
      <c r="O63" s="64">
        <f>N63/M56</f>
        <v>0.70940170940170932</v>
      </c>
      <c r="P63" s="18">
        <f t="shared" si="18"/>
        <v>28.438836241269279</v>
      </c>
      <c r="R63" s="10">
        <v>130</v>
      </c>
      <c r="S63" s="3" t="str">
        <f t="shared" si="1"/>
        <v>Calves on forage</v>
      </c>
      <c r="U63" s="68"/>
      <c r="V63" s="43"/>
    </row>
    <row r="64" spans="1:22" x14ac:dyDescent="0.2">
      <c r="A64" s="122" t="s">
        <v>75</v>
      </c>
      <c r="B64" s="247">
        <f>SUMPRODUCT(B65:B68,M65:M68)</f>
        <v>309.95</v>
      </c>
      <c r="C64" s="123"/>
      <c r="D64" s="123"/>
      <c r="E64" s="123"/>
      <c r="F64" s="123"/>
      <c r="G64" s="124"/>
      <c r="H64" s="123"/>
      <c r="I64" s="123"/>
      <c r="J64" s="294"/>
      <c r="K64" s="295"/>
      <c r="L64" s="125"/>
      <c r="M64" s="126">
        <f>SUM(M65:M68)</f>
        <v>1</v>
      </c>
      <c r="N64" s="127">
        <v>0.17</v>
      </c>
      <c r="O64" s="128"/>
      <c r="P64" s="247">
        <f t="shared" si="18"/>
        <v>42.811967837447455</v>
      </c>
      <c r="Q64" s="43"/>
      <c r="R64" s="123"/>
      <c r="S64" s="1" t="str">
        <f t="shared" si="1"/>
        <v>Asia_high productivity systems</v>
      </c>
    </row>
    <row r="65" spans="1:22" x14ac:dyDescent="0.2">
      <c r="A65" s="13" t="str">
        <f>A85</f>
        <v xml:space="preserve"> Mature Females</v>
      </c>
      <c r="B65" s="14">
        <v>450</v>
      </c>
      <c r="C65" s="14"/>
      <c r="D65" s="15" t="s">
        <v>13</v>
      </c>
      <c r="E65" s="14">
        <v>1.9</v>
      </c>
      <c r="F65" s="14">
        <v>4.7</v>
      </c>
      <c r="G65" s="19">
        <v>3.3000000000000002E-2</v>
      </c>
      <c r="H65" s="14"/>
      <c r="I65" s="17">
        <v>0.8</v>
      </c>
      <c r="J65" s="18">
        <v>68</v>
      </c>
      <c r="K65" s="41">
        <v>0.125</v>
      </c>
      <c r="L65" s="62">
        <v>6.3E-2</v>
      </c>
      <c r="M65" s="46">
        <v>0.41</v>
      </c>
      <c r="N65" s="36">
        <f>$N$64*M65</f>
        <v>6.9699999999999998E-2</v>
      </c>
      <c r="O65" s="64">
        <f>N65/M51</f>
        <v>0.25526460355246294</v>
      </c>
      <c r="P65" s="18">
        <f t="shared" si="18"/>
        <v>54.689572674730044</v>
      </c>
      <c r="R65" s="14">
        <f>B65</f>
        <v>450</v>
      </c>
      <c r="S65" s="3" t="str">
        <f t="shared" si="1"/>
        <v xml:space="preserve"> Mature Females</v>
      </c>
      <c r="T65" s="34"/>
    </row>
    <row r="66" spans="1:22" x14ac:dyDescent="0.2">
      <c r="A66" s="13" t="str">
        <f>A86</f>
        <v>Mature Males</v>
      </c>
      <c r="B66" s="14">
        <v>550</v>
      </c>
      <c r="C66" s="14"/>
      <c r="D66" s="15" t="s">
        <v>13</v>
      </c>
      <c r="E66" s="14"/>
      <c r="F66" s="14"/>
      <c r="G66" s="19"/>
      <c r="H66" s="14"/>
      <c r="I66" s="17"/>
      <c r="J66" s="18">
        <v>68</v>
      </c>
      <c r="K66" s="41">
        <v>0.125</v>
      </c>
      <c r="L66" s="62">
        <v>6.3E-2</v>
      </c>
      <c r="M66" s="46">
        <v>0.02</v>
      </c>
      <c r="N66" s="244">
        <f t="shared" ref="N66:N68" si="20">$N$64*M66</f>
        <v>3.4000000000000002E-3</v>
      </c>
      <c r="O66" s="64">
        <f>N66/M53</f>
        <v>2.2872519340733265E-2</v>
      </c>
      <c r="P66" s="18">
        <f t="shared" si="18"/>
        <v>48.79757612043263</v>
      </c>
      <c r="R66" s="14">
        <f>B66</f>
        <v>550</v>
      </c>
      <c r="S66" s="3" t="str">
        <f t="shared" si="1"/>
        <v>Mature Males</v>
      </c>
      <c r="T66" s="34"/>
    </row>
    <row r="67" spans="1:22" x14ac:dyDescent="0.2">
      <c r="A67" s="13" t="str">
        <f>A87</f>
        <v>Growing/Replacement</v>
      </c>
      <c r="B67" s="14">
        <v>285</v>
      </c>
      <c r="C67" s="20">
        <v>0.4</v>
      </c>
      <c r="D67" s="15" t="s">
        <v>13</v>
      </c>
      <c r="E67" s="14"/>
      <c r="F67" s="14"/>
      <c r="G67" s="19"/>
      <c r="H67" s="14"/>
      <c r="I67" s="17"/>
      <c r="J67" s="18">
        <v>68</v>
      </c>
      <c r="K67" s="41">
        <v>0.125</v>
      </c>
      <c r="L67" s="62">
        <v>6.3E-2</v>
      </c>
      <c r="M67" s="46">
        <v>0.27</v>
      </c>
      <c r="N67" s="36">
        <f t="shared" si="20"/>
        <v>4.5900000000000003E-2</v>
      </c>
      <c r="O67" s="64">
        <f>N67/M55</f>
        <v>0.18113654301499604</v>
      </c>
      <c r="P67" s="18">
        <f t="shared" si="18"/>
        <v>41.271895513785068</v>
      </c>
      <c r="R67" s="14">
        <v>350</v>
      </c>
      <c r="S67" s="3" t="str">
        <f t="shared" si="1"/>
        <v>Growing/Replacement</v>
      </c>
      <c r="T67" s="34"/>
    </row>
    <row r="68" spans="1:22" x14ac:dyDescent="0.2">
      <c r="A68" s="13" t="str">
        <f>A88</f>
        <v>Calves on forage</v>
      </c>
      <c r="B68" s="10">
        <v>125</v>
      </c>
      <c r="C68" s="11">
        <v>0.5</v>
      </c>
      <c r="D68" s="10" t="s">
        <v>13</v>
      </c>
      <c r="E68" s="9"/>
      <c r="F68" s="9"/>
      <c r="G68" s="40"/>
      <c r="H68" s="9"/>
      <c r="I68" s="9"/>
      <c r="J68" s="10">
        <v>68</v>
      </c>
      <c r="K68" s="39">
        <v>0.125</v>
      </c>
      <c r="L68" s="62">
        <v>6.3E-2</v>
      </c>
      <c r="M68" s="47">
        <v>0.3</v>
      </c>
      <c r="N68" s="36">
        <f t="shared" si="20"/>
        <v>5.1000000000000004E-2</v>
      </c>
      <c r="O68" s="64">
        <f>N68/M56</f>
        <v>0.29059829059829062</v>
      </c>
      <c r="P68" s="18">
        <f t="shared" si="18"/>
        <v>27.566265765591702</v>
      </c>
      <c r="R68" s="14">
        <v>250</v>
      </c>
      <c r="S68" s="3" t="str">
        <f t="shared" si="1"/>
        <v>Calves on forage</v>
      </c>
      <c r="T68" s="34"/>
    </row>
    <row r="69" spans="1:22" x14ac:dyDescent="0.2">
      <c r="A69" s="76" t="s">
        <v>23</v>
      </c>
      <c r="B69" s="103">
        <f>SUMPRODUCT(B70:B76,M70:M76)</f>
        <v>235.82999999999998</v>
      </c>
      <c r="C69" s="77"/>
      <c r="D69" s="77"/>
      <c r="E69" s="77"/>
      <c r="F69" s="77"/>
      <c r="G69" s="104"/>
      <c r="H69" s="77"/>
      <c r="I69" s="77"/>
      <c r="J69" s="79"/>
      <c r="K69" s="79"/>
      <c r="L69" s="105"/>
      <c r="M69" s="105">
        <f>SUM(M70:M76)</f>
        <v>1</v>
      </c>
      <c r="N69" s="104"/>
      <c r="O69" s="104"/>
      <c r="P69" s="103">
        <f t="shared" si="18"/>
        <v>52.308760333433177</v>
      </c>
      <c r="Q69" s="43"/>
      <c r="R69" s="77"/>
      <c r="S69" s="1" t="str">
        <f t="shared" si="1"/>
        <v>Africa</v>
      </c>
      <c r="T69" s="67"/>
    </row>
    <row r="70" spans="1:22" x14ac:dyDescent="0.2">
      <c r="A70" s="13" t="str">
        <f>A78</f>
        <v xml:space="preserve"> Mature Females</v>
      </c>
      <c r="B70" s="18">
        <f>B78*O78+B85*O85</f>
        <v>356.0542168674699</v>
      </c>
      <c r="C70" s="14"/>
      <c r="D70" s="15" t="s">
        <v>6</v>
      </c>
      <c r="E70" s="16">
        <f>E78*O78+E85*O85</f>
        <v>2.3981927710843371</v>
      </c>
      <c r="F70" s="16">
        <f>F78*O78+F85*O85</f>
        <v>3.9590361445783135</v>
      </c>
      <c r="G70" s="42">
        <f>G78*O78+G85*O85</f>
        <v>3.5295180722891568E-2</v>
      </c>
      <c r="H70" s="14">
        <v>0.55000000000000004</v>
      </c>
      <c r="I70" s="23">
        <f>I78*O78+I85*O85</f>
        <v>0.61753012048192779</v>
      </c>
      <c r="J70" s="18">
        <f>J78*O78+J85*O85</f>
        <v>60.114457831325304</v>
      </c>
      <c r="K70" s="42">
        <f>K78*O78+K85*O85</f>
        <v>0.11268674698795181</v>
      </c>
      <c r="L70" s="62">
        <v>7.0000000000000007E-2</v>
      </c>
      <c r="M70" s="46">
        <f>N85+N78</f>
        <v>0.16599999999999998</v>
      </c>
      <c r="N70" s="46"/>
      <c r="O70" s="46"/>
      <c r="P70" s="75">
        <f t="shared" si="18"/>
        <v>74.087471517689366</v>
      </c>
      <c r="R70" s="18">
        <f>R78*O78+R85*O85</f>
        <v>356.0542168674699</v>
      </c>
      <c r="S70" s="3" t="str">
        <f t="shared" ref="S70:S120" si="21">A70</f>
        <v xml:space="preserve"> Mature Females</v>
      </c>
      <c r="T70" s="34"/>
      <c r="U70" s="68"/>
      <c r="V70" s="68"/>
    </row>
    <row r="71" spans="1:22" x14ac:dyDescent="0.2">
      <c r="A71" s="13" t="str">
        <f>A79</f>
        <v xml:space="preserve"> Mature Females-Grazing</v>
      </c>
      <c r="B71" s="14">
        <f>B79</f>
        <v>275</v>
      </c>
      <c r="C71" s="14"/>
      <c r="D71" s="15" t="s">
        <v>17</v>
      </c>
      <c r="E71" s="14">
        <f>E79</f>
        <v>1.2</v>
      </c>
      <c r="F71" s="14">
        <f>F79</f>
        <v>4.0999999999999996</v>
      </c>
      <c r="G71" s="19">
        <f>G79</f>
        <v>3.5999999999999997E-2</v>
      </c>
      <c r="H71" s="14"/>
      <c r="I71" s="17">
        <f>I79</f>
        <v>0.54</v>
      </c>
      <c r="J71" s="18">
        <f>J79</f>
        <v>58</v>
      </c>
      <c r="K71" s="42">
        <f>K79</f>
        <v>0.1</v>
      </c>
      <c r="L71" s="62">
        <v>7.0000000000000007E-2</v>
      </c>
      <c r="M71" s="46">
        <f>N79</f>
        <v>0.105</v>
      </c>
      <c r="N71" s="46"/>
      <c r="O71" s="46"/>
      <c r="P71" s="75">
        <f t="shared" si="18"/>
        <v>66.165529778722345</v>
      </c>
      <c r="R71" s="14">
        <f>B71</f>
        <v>275</v>
      </c>
      <c r="S71" s="3" t="str">
        <f t="shared" si="21"/>
        <v xml:space="preserve"> Mature Females-Grazing</v>
      </c>
      <c r="T71" s="34"/>
    </row>
    <row r="72" spans="1:22" x14ac:dyDescent="0.2">
      <c r="A72" s="13" t="s">
        <v>7</v>
      </c>
      <c r="B72" s="14">
        <f>B86</f>
        <v>540</v>
      </c>
      <c r="C72" s="14"/>
      <c r="D72" s="15" t="s">
        <v>6</v>
      </c>
      <c r="E72" s="14"/>
      <c r="F72" s="14"/>
      <c r="G72" s="19"/>
      <c r="H72" s="14"/>
      <c r="I72" s="17"/>
      <c r="J72" s="18">
        <f>J86</f>
        <v>58</v>
      </c>
      <c r="K72" s="42">
        <f>K86</f>
        <v>0.112</v>
      </c>
      <c r="L72" s="62">
        <v>7.0000000000000007E-2</v>
      </c>
      <c r="M72" s="46">
        <f>N86</f>
        <v>1.7999999999999999E-2</v>
      </c>
      <c r="N72" s="46"/>
      <c r="O72" s="46"/>
      <c r="P72" s="75">
        <f t="shared" si="18"/>
        <v>79.048128200055601</v>
      </c>
      <c r="R72" s="14">
        <f>B72</f>
        <v>540</v>
      </c>
      <c r="S72" s="3" t="str">
        <f t="shared" si="21"/>
        <v>Mature Males</v>
      </c>
      <c r="T72" s="34"/>
    </row>
    <row r="73" spans="1:22" x14ac:dyDescent="0.2">
      <c r="A73" s="13" t="str">
        <f>A80</f>
        <v xml:space="preserve"> Draft Bullocks</v>
      </c>
      <c r="B73" s="14">
        <f>B80</f>
        <v>340</v>
      </c>
      <c r="C73" s="14"/>
      <c r="D73" s="15" t="s">
        <v>13</v>
      </c>
      <c r="E73" s="14"/>
      <c r="F73" s="14"/>
      <c r="G73" s="19"/>
      <c r="H73" s="14">
        <f>H80</f>
        <v>1.1000000000000001</v>
      </c>
      <c r="I73" s="17"/>
      <c r="J73" s="18">
        <f>J80</f>
        <v>58</v>
      </c>
      <c r="K73" s="42">
        <f>K80</f>
        <v>0.1</v>
      </c>
      <c r="L73" s="62">
        <v>7.0000000000000007E-2</v>
      </c>
      <c r="M73" s="46">
        <f>N80</f>
        <v>3.4999999999999996E-2</v>
      </c>
      <c r="N73" s="46"/>
      <c r="O73" s="46"/>
      <c r="P73" s="75">
        <f t="shared" si="18"/>
        <v>53.00814122343462</v>
      </c>
      <c r="R73" s="14">
        <f>B73</f>
        <v>340</v>
      </c>
      <c r="S73" s="3" t="str">
        <f t="shared" si="21"/>
        <v xml:space="preserve"> Draft Bullocks</v>
      </c>
      <c r="T73" s="34"/>
    </row>
    <row r="74" spans="1:22" x14ac:dyDescent="0.2">
      <c r="A74" s="13" t="str">
        <f>A81</f>
        <v xml:space="preserve"> Bulls - Grazing</v>
      </c>
      <c r="B74" s="14">
        <f>B81</f>
        <v>340</v>
      </c>
      <c r="C74" s="14"/>
      <c r="D74" s="15" t="s">
        <v>17</v>
      </c>
      <c r="E74" s="14"/>
      <c r="F74" s="14"/>
      <c r="G74" s="19"/>
      <c r="H74" s="14"/>
      <c r="I74" s="17"/>
      <c r="J74" s="18">
        <f>J81</f>
        <v>58</v>
      </c>
      <c r="K74" s="42">
        <f>K81</f>
        <v>0.1</v>
      </c>
      <c r="L74" s="62">
        <v>7.0000000000000007E-2</v>
      </c>
      <c r="M74" s="46">
        <f>N81</f>
        <v>7.6999999999999999E-2</v>
      </c>
      <c r="N74" s="46"/>
      <c r="O74" s="46"/>
      <c r="P74" s="75">
        <f t="shared" si="18"/>
        <v>64.946911769253234</v>
      </c>
      <c r="R74" s="14">
        <f>B74</f>
        <v>340</v>
      </c>
      <c r="S74" s="3" t="str">
        <f t="shared" si="21"/>
        <v xml:space="preserve"> Bulls - Grazing</v>
      </c>
      <c r="T74" s="34"/>
    </row>
    <row r="75" spans="1:22" x14ac:dyDescent="0.2">
      <c r="A75" s="13" t="str">
        <f>A87</f>
        <v>Growing/Replacement</v>
      </c>
      <c r="B75" s="18">
        <f>B82*O82+B87*O87</f>
        <v>204.17266187050359</v>
      </c>
      <c r="C75" s="20">
        <f>C82*O82+C87*O87</f>
        <v>0.24129496402877698</v>
      </c>
      <c r="D75" s="15" t="s">
        <v>6</v>
      </c>
      <c r="E75" s="14"/>
      <c r="F75" s="14"/>
      <c r="G75" s="19"/>
      <c r="H75" s="14"/>
      <c r="I75" s="17"/>
      <c r="J75" s="18">
        <f>J82*O82+J87*O87</f>
        <v>58.589928057553955</v>
      </c>
      <c r="K75" s="42">
        <f>K82*O82+K87*O87</f>
        <v>0.10353956834532374</v>
      </c>
      <c r="L75" s="62">
        <v>7.0000000000000007E-2</v>
      </c>
      <c r="M75" s="46">
        <f>N87+N82</f>
        <v>0.41699999999999998</v>
      </c>
      <c r="N75" s="46"/>
      <c r="O75" s="46"/>
      <c r="P75" s="75">
        <f>S199</f>
        <v>45.717664959109193</v>
      </c>
      <c r="R75" s="18">
        <f>R82*O82+R87*O87</f>
        <v>267.12230215827338</v>
      </c>
      <c r="S75" s="3" t="str">
        <f t="shared" si="21"/>
        <v>Growing/Replacement</v>
      </c>
      <c r="T75" s="34"/>
      <c r="U75" s="68"/>
      <c r="V75" s="68"/>
    </row>
    <row r="76" spans="1:22" x14ac:dyDescent="0.2">
      <c r="A76" s="13" t="str">
        <f>A88</f>
        <v>Calves on forage</v>
      </c>
      <c r="B76" s="18">
        <f>B83*O83+B88*O88</f>
        <v>81.92307692307692</v>
      </c>
      <c r="C76" s="20">
        <f>C83*O83+C88*O88</f>
        <v>0.32999999999999996</v>
      </c>
      <c r="D76" s="15" t="s">
        <v>6</v>
      </c>
      <c r="E76" s="14"/>
      <c r="F76" s="14"/>
      <c r="G76" s="19"/>
      <c r="H76" s="14"/>
      <c r="I76" s="17"/>
      <c r="J76" s="18">
        <f>J83*O83+J88*O88</f>
        <v>58.692307692307693</v>
      </c>
      <c r="K76" s="42">
        <f>K83*O83+K88*O88</f>
        <v>0.10323076923076924</v>
      </c>
      <c r="L76" s="62">
        <v>7.0000000000000007E-2</v>
      </c>
      <c r="M76" s="46">
        <f>N88+N83</f>
        <v>0.182</v>
      </c>
      <c r="N76" s="46"/>
      <c r="O76" s="46"/>
      <c r="P76" s="75">
        <f t="shared" si="18"/>
        <v>31.425987308399169</v>
      </c>
      <c r="R76" s="18">
        <f>R83*O83+R88*O88</f>
        <v>140</v>
      </c>
      <c r="S76" s="3" t="str">
        <f t="shared" si="21"/>
        <v>Calves on forage</v>
      </c>
      <c r="T76" s="34"/>
      <c r="U76" s="68"/>
      <c r="V76" s="68"/>
    </row>
    <row r="77" spans="1:22" x14ac:dyDescent="0.2">
      <c r="A77" s="108" t="s">
        <v>76</v>
      </c>
      <c r="B77" s="121">
        <f>SUMPRODUCT(B78:B83,M78:M83)</f>
        <v>207.60000000000002</v>
      </c>
      <c r="C77" s="109"/>
      <c r="D77" s="110"/>
      <c r="E77" s="109"/>
      <c r="F77" s="109"/>
      <c r="G77" s="111"/>
      <c r="H77" s="109"/>
      <c r="I77" s="112"/>
      <c r="J77" s="113"/>
      <c r="K77" s="114"/>
      <c r="L77" s="115"/>
      <c r="M77" s="116">
        <f>SUM(M78:M83)</f>
        <v>1</v>
      </c>
      <c r="N77" s="116">
        <v>0.7</v>
      </c>
      <c r="O77" s="116"/>
      <c r="P77" s="121">
        <f t="shared" si="18"/>
        <v>47.061305851312319</v>
      </c>
      <c r="Q77" s="71"/>
      <c r="R77" s="109"/>
      <c r="S77" s="1" t="str">
        <f t="shared" si="21"/>
        <v>Africa_low productivity systems</v>
      </c>
      <c r="T77" s="34"/>
    </row>
    <row r="78" spans="1:22" x14ac:dyDescent="0.2">
      <c r="A78" s="13" t="s">
        <v>16</v>
      </c>
      <c r="B78" s="14">
        <v>275</v>
      </c>
      <c r="C78" s="14"/>
      <c r="D78" s="15" t="s">
        <v>6</v>
      </c>
      <c r="E78" s="14">
        <v>1.2</v>
      </c>
      <c r="F78" s="14">
        <v>4.0999999999999996</v>
      </c>
      <c r="G78" s="19">
        <v>3.5999999999999997E-2</v>
      </c>
      <c r="H78" s="14">
        <v>0.55000000000000004</v>
      </c>
      <c r="I78" s="17">
        <v>0.54</v>
      </c>
      <c r="J78" s="18">
        <v>58</v>
      </c>
      <c r="K78" s="42">
        <v>0.1</v>
      </c>
      <c r="L78" s="62">
        <v>7.0000000000000007E-2</v>
      </c>
      <c r="M78" s="46">
        <v>7.0000000000000007E-2</v>
      </c>
      <c r="N78" s="47">
        <f>$N$77*M78</f>
        <v>4.9000000000000002E-2</v>
      </c>
      <c r="O78" s="241">
        <f>N78/M70</f>
        <v>0.29518072289156633</v>
      </c>
      <c r="P78" s="75">
        <f t="shared" si="18"/>
        <v>60.429263826080309</v>
      </c>
      <c r="R78" s="14">
        <f>B78</f>
        <v>275</v>
      </c>
      <c r="S78" s="3" t="str">
        <f t="shared" si="21"/>
        <v xml:space="preserve"> Mature Females</v>
      </c>
      <c r="T78" s="34"/>
    </row>
    <row r="79" spans="1:22" x14ac:dyDescent="0.2">
      <c r="A79" s="13" t="s">
        <v>20</v>
      </c>
      <c r="B79" s="14">
        <v>275</v>
      </c>
      <c r="C79" s="14"/>
      <c r="D79" s="15" t="s">
        <v>17</v>
      </c>
      <c r="E79" s="14">
        <v>1.2</v>
      </c>
      <c r="F79" s="14">
        <v>4.0999999999999996</v>
      </c>
      <c r="G79" s="19">
        <v>3.5999999999999997E-2</v>
      </c>
      <c r="H79" s="14"/>
      <c r="I79" s="17">
        <v>0.54</v>
      </c>
      <c r="J79" s="18">
        <v>58</v>
      </c>
      <c r="K79" s="42">
        <v>0.1</v>
      </c>
      <c r="L79" s="62">
        <v>7.0000000000000007E-2</v>
      </c>
      <c r="M79" s="46">
        <v>0.15</v>
      </c>
      <c r="N79" s="47">
        <f t="shared" ref="N79:N83" si="22">$N$77*M79</f>
        <v>0.105</v>
      </c>
      <c r="O79" s="241"/>
      <c r="P79" s="75">
        <f t="shared" si="18"/>
        <v>66.165529778722345</v>
      </c>
      <c r="R79" s="14">
        <f>B79</f>
        <v>275</v>
      </c>
      <c r="S79" s="3" t="str">
        <f t="shared" si="21"/>
        <v xml:space="preserve"> Mature Females-Grazing</v>
      </c>
      <c r="T79" s="34"/>
    </row>
    <row r="80" spans="1:22" x14ac:dyDescent="0.2">
      <c r="A80" s="13" t="s">
        <v>24</v>
      </c>
      <c r="B80" s="14">
        <v>340</v>
      </c>
      <c r="C80" s="14"/>
      <c r="D80" s="15" t="s">
        <v>13</v>
      </c>
      <c r="E80" s="14"/>
      <c r="F80" s="14"/>
      <c r="G80" s="19"/>
      <c r="H80" s="14">
        <v>1.1000000000000001</v>
      </c>
      <c r="I80" s="17"/>
      <c r="J80" s="18">
        <v>58</v>
      </c>
      <c r="K80" s="42">
        <v>0.1</v>
      </c>
      <c r="L80" s="62">
        <v>7.0000000000000007E-2</v>
      </c>
      <c r="M80" s="46">
        <v>0.05</v>
      </c>
      <c r="N80" s="47">
        <f t="shared" si="22"/>
        <v>3.4999999999999996E-2</v>
      </c>
      <c r="O80" s="241"/>
      <c r="P80" s="75">
        <f t="shared" si="18"/>
        <v>46.131409389043114</v>
      </c>
      <c r="R80" s="14">
        <f>B80</f>
        <v>340</v>
      </c>
      <c r="S80" s="3" t="str">
        <f t="shared" si="21"/>
        <v xml:space="preserve"> Draft Bullocks</v>
      </c>
      <c r="T80" s="34"/>
    </row>
    <row r="81" spans="1:28" x14ac:dyDescent="0.2">
      <c r="A81" s="13" t="s">
        <v>25</v>
      </c>
      <c r="B81" s="14">
        <v>340</v>
      </c>
      <c r="C81" s="14"/>
      <c r="D81" s="15" t="s">
        <v>17</v>
      </c>
      <c r="E81" s="14"/>
      <c r="F81" s="14"/>
      <c r="G81" s="19"/>
      <c r="H81" s="14"/>
      <c r="I81" s="17"/>
      <c r="J81" s="18">
        <v>58</v>
      </c>
      <c r="K81" s="42">
        <v>0.1</v>
      </c>
      <c r="L81" s="62">
        <v>7.0000000000000007E-2</v>
      </c>
      <c r="M81" s="46">
        <v>0.11</v>
      </c>
      <c r="N81" s="47">
        <f t="shared" si="22"/>
        <v>7.6999999999999999E-2</v>
      </c>
      <c r="O81" s="241"/>
      <c r="P81" s="75">
        <f t="shared" si="18"/>
        <v>64.946911769253234</v>
      </c>
      <c r="R81" s="14">
        <f>B81</f>
        <v>340</v>
      </c>
      <c r="S81" s="3" t="str">
        <f t="shared" si="21"/>
        <v xml:space="preserve"> Bulls - Grazing</v>
      </c>
      <c r="T81" s="34"/>
    </row>
    <row r="82" spans="1:28" x14ac:dyDescent="0.2">
      <c r="A82" s="13" t="s">
        <v>62</v>
      </c>
      <c r="B82" s="14">
        <v>185</v>
      </c>
      <c r="C82" s="20">
        <v>0.2</v>
      </c>
      <c r="D82" s="15" t="s">
        <v>6</v>
      </c>
      <c r="E82" s="14"/>
      <c r="F82" s="14"/>
      <c r="G82" s="19"/>
      <c r="H82" s="14"/>
      <c r="I82" s="17"/>
      <c r="J82" s="18">
        <v>58</v>
      </c>
      <c r="K82" s="42">
        <v>0.1</v>
      </c>
      <c r="L82" s="62">
        <v>7.0000000000000007E-2</v>
      </c>
      <c r="M82" s="46">
        <v>0.42</v>
      </c>
      <c r="N82" s="47">
        <f t="shared" si="22"/>
        <v>0.29399999999999998</v>
      </c>
      <c r="O82" s="241">
        <f>N82/M75</f>
        <v>0.70503597122302153</v>
      </c>
      <c r="P82" s="75">
        <f t="shared" ref="P82:P113" si="23">S206</f>
        <v>41.627453600658605</v>
      </c>
      <c r="R82" s="14">
        <v>245</v>
      </c>
      <c r="S82" s="3" t="str">
        <f t="shared" si="21"/>
        <v>Growing/Replacement</v>
      </c>
      <c r="T82" s="34"/>
    </row>
    <row r="83" spans="1:28" x14ac:dyDescent="0.2">
      <c r="A83" s="13" t="s">
        <v>9</v>
      </c>
      <c r="B83" s="14">
        <v>75</v>
      </c>
      <c r="C83" s="20">
        <v>0.3</v>
      </c>
      <c r="D83" s="15" t="s">
        <v>6</v>
      </c>
      <c r="E83" s="14"/>
      <c r="F83" s="14"/>
      <c r="G83" s="19"/>
      <c r="H83" s="14"/>
      <c r="I83" s="17"/>
      <c r="J83" s="18">
        <v>58</v>
      </c>
      <c r="K83" s="42">
        <v>0.1</v>
      </c>
      <c r="L83" s="62">
        <v>7.0000000000000007E-2</v>
      </c>
      <c r="M83" s="46">
        <v>0.2</v>
      </c>
      <c r="N83" s="47">
        <f t="shared" si="22"/>
        <v>0.13999999999999999</v>
      </c>
      <c r="O83" s="241">
        <f>N83/M76</f>
        <v>0.76923076923076916</v>
      </c>
      <c r="P83" s="75">
        <f t="shared" si="23"/>
        <v>29.860833201658636</v>
      </c>
      <c r="R83" s="14">
        <v>125</v>
      </c>
      <c r="S83" s="3" t="str">
        <f t="shared" si="21"/>
        <v>Calves on forage</v>
      </c>
      <c r="T83" s="34"/>
    </row>
    <row r="84" spans="1:28" x14ac:dyDescent="0.2">
      <c r="A84" s="108" t="s">
        <v>77</v>
      </c>
      <c r="B84" s="121">
        <f>SUMPRODUCT(B85:B88,M85:M88)</f>
        <v>301.7</v>
      </c>
      <c r="C84" s="109"/>
      <c r="D84" s="110"/>
      <c r="E84" s="109"/>
      <c r="F84" s="109"/>
      <c r="G84" s="111"/>
      <c r="H84" s="109"/>
      <c r="I84" s="112"/>
      <c r="J84" s="113"/>
      <c r="K84" s="114"/>
      <c r="L84" s="115"/>
      <c r="M84" s="116">
        <f>SUM(M85:M88)</f>
        <v>1</v>
      </c>
      <c r="N84" s="112">
        <v>0.3</v>
      </c>
      <c r="O84" s="112"/>
      <c r="P84" s="121">
        <f t="shared" si="23"/>
        <v>60.118445599478363</v>
      </c>
      <c r="Q84" s="71"/>
      <c r="R84" s="109"/>
      <c r="S84" s="1" t="str">
        <f t="shared" si="21"/>
        <v>Africa_high productivity systems</v>
      </c>
      <c r="T84" s="34"/>
    </row>
    <row r="85" spans="1:28" x14ac:dyDescent="0.2">
      <c r="A85" s="13" t="str">
        <f>A78</f>
        <v xml:space="preserve"> Mature Females</v>
      </c>
      <c r="B85" s="14">
        <v>390</v>
      </c>
      <c r="C85" s="14"/>
      <c r="D85" s="15" t="s">
        <v>6</v>
      </c>
      <c r="E85" s="14">
        <v>2.9</v>
      </c>
      <c r="F85" s="14">
        <v>3.9</v>
      </c>
      <c r="G85" s="19">
        <v>3.5000000000000003E-2</v>
      </c>
      <c r="H85" s="14"/>
      <c r="I85" s="17">
        <v>0.65</v>
      </c>
      <c r="J85" s="18">
        <v>61</v>
      </c>
      <c r="K85" s="42">
        <v>0.11799999999999999</v>
      </c>
      <c r="L85" s="62">
        <v>7.0000000000000007E-2</v>
      </c>
      <c r="M85" s="46">
        <v>0.39</v>
      </c>
      <c r="N85" s="36">
        <f>M85*$N$84</f>
        <v>0.11699999999999999</v>
      </c>
      <c r="O85" s="64">
        <f>N85/M70</f>
        <v>0.70481927710843373</v>
      </c>
      <c r="P85" s="18">
        <f t="shared" si="23"/>
        <v>76.372757627456878</v>
      </c>
      <c r="R85" s="14">
        <f>B85</f>
        <v>390</v>
      </c>
      <c r="S85" s="3" t="str">
        <f t="shared" si="21"/>
        <v xml:space="preserve"> Mature Females</v>
      </c>
      <c r="T85" s="34"/>
    </row>
    <row r="86" spans="1:28" x14ac:dyDescent="0.2">
      <c r="A86" s="13" t="s">
        <v>7</v>
      </c>
      <c r="B86" s="14">
        <v>540</v>
      </c>
      <c r="C86" s="14"/>
      <c r="D86" s="15" t="s">
        <v>6</v>
      </c>
      <c r="E86" s="14"/>
      <c r="F86" s="14"/>
      <c r="G86" s="14"/>
      <c r="H86" s="14"/>
      <c r="I86" s="17"/>
      <c r="J86" s="18">
        <v>58</v>
      </c>
      <c r="K86" s="42">
        <v>0.112</v>
      </c>
      <c r="L86" s="62">
        <v>7.0000000000000007E-2</v>
      </c>
      <c r="M86" s="46">
        <v>0.06</v>
      </c>
      <c r="N86" s="36">
        <f t="shared" ref="N86:N88" si="24">M86*$N$84</f>
        <v>1.7999999999999999E-2</v>
      </c>
      <c r="O86" s="64"/>
      <c r="P86" s="18">
        <f t="shared" si="23"/>
        <v>79.048128200055601</v>
      </c>
      <c r="R86" s="14">
        <f>B86</f>
        <v>540</v>
      </c>
      <c r="S86" s="3" t="str">
        <f t="shared" si="21"/>
        <v>Mature Males</v>
      </c>
      <c r="T86" s="34"/>
    </row>
    <row r="87" spans="1:28" x14ac:dyDescent="0.2">
      <c r="A87" s="13" t="str">
        <f>A82</f>
        <v>Growing/Replacement</v>
      </c>
      <c r="B87" s="14">
        <v>250</v>
      </c>
      <c r="C87" s="14">
        <v>0.34</v>
      </c>
      <c r="D87" s="15" t="s">
        <v>6</v>
      </c>
      <c r="E87" s="14"/>
      <c r="F87" s="14"/>
      <c r="G87" s="14"/>
      <c r="H87" s="14"/>
      <c r="I87" s="17"/>
      <c r="J87" s="18">
        <v>60</v>
      </c>
      <c r="K87" s="42">
        <v>0.112</v>
      </c>
      <c r="L87" s="62">
        <v>7.0000000000000007E-2</v>
      </c>
      <c r="M87" s="46">
        <v>0.41</v>
      </c>
      <c r="N87" s="36">
        <f t="shared" si="24"/>
        <v>0.12299999999999998</v>
      </c>
      <c r="O87" s="64">
        <f>N87/M75</f>
        <v>0.29496402877697842</v>
      </c>
      <c r="P87" s="18">
        <f t="shared" si="23"/>
        <v>50.083570030203482</v>
      </c>
      <c r="R87" s="14">
        <v>320</v>
      </c>
      <c r="S87" s="3" t="str">
        <f t="shared" si="21"/>
        <v>Growing/Replacement</v>
      </c>
      <c r="T87" s="34"/>
    </row>
    <row r="88" spans="1:28" x14ac:dyDescent="0.2">
      <c r="A88" s="13" t="str">
        <f>A83</f>
        <v>Calves on forage</v>
      </c>
      <c r="B88" s="14">
        <v>105</v>
      </c>
      <c r="C88" s="14">
        <v>0.43</v>
      </c>
      <c r="D88" s="15" t="s">
        <v>6</v>
      </c>
      <c r="E88" s="14"/>
      <c r="F88" s="14"/>
      <c r="G88" s="14"/>
      <c r="H88" s="14"/>
      <c r="I88" s="17"/>
      <c r="J88" s="18">
        <v>61</v>
      </c>
      <c r="K88" s="42">
        <v>0.114</v>
      </c>
      <c r="L88" s="62">
        <v>7.0000000000000007E-2</v>
      </c>
      <c r="M88" s="46">
        <v>0.14000000000000001</v>
      </c>
      <c r="N88" s="36">
        <f t="shared" si="24"/>
        <v>4.2000000000000003E-2</v>
      </c>
      <c r="O88" s="64">
        <f>N88/M76</f>
        <v>0.23076923076923078</v>
      </c>
      <c r="P88" s="18">
        <f t="shared" si="23"/>
        <v>36.113705145595823</v>
      </c>
      <c r="R88" s="14">
        <v>190</v>
      </c>
      <c r="S88" s="3" t="str">
        <f t="shared" si="21"/>
        <v>Calves on forage</v>
      </c>
      <c r="T88" s="34"/>
    </row>
    <row r="89" spans="1:28" x14ac:dyDescent="0.2">
      <c r="A89" s="76" t="s">
        <v>52</v>
      </c>
      <c r="B89" s="103">
        <f>SUMPRODUCT(B90:B94,M90:M94)</f>
        <v>225.96800000000002</v>
      </c>
      <c r="C89" s="77"/>
      <c r="D89" s="77"/>
      <c r="E89" s="106"/>
      <c r="F89" s="77"/>
      <c r="G89" s="77"/>
      <c r="H89" s="77"/>
      <c r="I89" s="77"/>
      <c r="J89" s="79"/>
      <c r="K89" s="107"/>
      <c r="L89" s="80"/>
      <c r="M89" s="81">
        <f>SUM(M90:M94)</f>
        <v>1</v>
      </c>
      <c r="N89" s="82"/>
      <c r="O89" s="82"/>
      <c r="P89" s="83">
        <f t="shared" si="23"/>
        <v>46.362547904249766</v>
      </c>
      <c r="Q89" s="43"/>
      <c r="R89" s="77"/>
      <c r="S89" s="1" t="str">
        <f t="shared" si="21"/>
        <v>Indian Subcontinent</v>
      </c>
      <c r="T89" s="67"/>
      <c r="X89" s="43"/>
      <c r="AB89" s="8"/>
    </row>
    <row r="90" spans="1:28" x14ac:dyDescent="0.2">
      <c r="A90" s="13" t="s">
        <v>16</v>
      </c>
      <c r="B90" s="18">
        <f>B96*O96+B102*O102</f>
        <v>252.87671232876713</v>
      </c>
      <c r="C90" s="21">
        <f>C96*N96+C102*N102</f>
        <v>0</v>
      </c>
      <c r="D90" s="15" t="s">
        <v>6</v>
      </c>
      <c r="E90" s="22">
        <f>E96*O96+E102*O102</f>
        <v>1.7460273972602738</v>
      </c>
      <c r="F90" s="16">
        <f>F96*O96+F102*O102</f>
        <v>4.5654794520547943</v>
      </c>
      <c r="G90" s="19">
        <v>3.2000000000000001E-2</v>
      </c>
      <c r="H90" s="21">
        <f>H96*N96+H102*N102</f>
        <v>0</v>
      </c>
      <c r="I90" s="30">
        <f>I96*O96+I102*O1021</f>
        <v>0.311013698630137</v>
      </c>
      <c r="J90" s="18">
        <f>J96*O96+J102*O102</f>
        <v>55.287671232876711</v>
      </c>
      <c r="K90" s="42">
        <f>K96*O96+K102*O102</f>
        <v>0.10172602739726028</v>
      </c>
      <c r="L90" s="63">
        <v>7.0000000000000007E-2</v>
      </c>
      <c r="M90" s="48">
        <f>N96+N102</f>
        <v>0.219</v>
      </c>
      <c r="N90" s="23"/>
      <c r="O90" s="23"/>
      <c r="P90" s="18">
        <f t="shared" si="23"/>
        <v>61.881614584486314</v>
      </c>
      <c r="Q90" s="296"/>
      <c r="R90" s="18">
        <f>R96*O96+R102*O102</f>
        <v>252.87671232876713</v>
      </c>
      <c r="S90" s="3" t="str">
        <f t="shared" si="21"/>
        <v xml:space="preserve"> Mature Females</v>
      </c>
      <c r="T90" s="34"/>
      <c r="X90" s="43"/>
      <c r="Y90" s="68"/>
      <c r="Z90" s="68"/>
    </row>
    <row r="91" spans="1:28" x14ac:dyDescent="0.2">
      <c r="A91" s="13" t="s">
        <v>18</v>
      </c>
      <c r="B91" s="18">
        <f>B97*O97+B103*O103</f>
        <v>308.89570552147234</v>
      </c>
      <c r="C91" s="24">
        <f>C97*N97+C103*N103</f>
        <v>0</v>
      </c>
      <c r="D91" s="15" t="s">
        <v>6</v>
      </c>
      <c r="E91" s="25">
        <f>E97*N97+E103*N103</f>
        <v>0</v>
      </c>
      <c r="F91" s="14"/>
      <c r="G91" s="26"/>
      <c r="H91" s="21">
        <f>H97*N97+H103*N103</f>
        <v>0</v>
      </c>
      <c r="I91" s="17"/>
      <c r="J91" s="18">
        <f>J97*O97+J103*O103</f>
        <v>57.361963190184042</v>
      </c>
      <c r="K91" s="42">
        <f>K97*O97+K103*O103</f>
        <v>0.1141717791411043</v>
      </c>
      <c r="L91" s="63">
        <v>7.0000000000000007E-2</v>
      </c>
      <c r="M91" s="48">
        <f>N97+N103</f>
        <v>3.2600000000000004E-2</v>
      </c>
      <c r="N91" s="23"/>
      <c r="O91" s="23"/>
      <c r="P91" s="18">
        <f t="shared" si="23"/>
        <v>52.90912761417335</v>
      </c>
      <c r="Q91" s="296"/>
      <c r="R91" s="18">
        <f>R97*O97+R103*O103</f>
        <v>308.89570552147234</v>
      </c>
      <c r="S91" s="3" t="str">
        <f t="shared" si="21"/>
        <v xml:space="preserve"> Mature Males</v>
      </c>
      <c r="T91" s="34"/>
      <c r="X91" s="43"/>
      <c r="Y91" s="68"/>
      <c r="Z91" s="68"/>
    </row>
    <row r="92" spans="1:28" x14ac:dyDescent="0.2">
      <c r="A92" s="13" t="s">
        <v>65</v>
      </c>
      <c r="B92" s="18">
        <f>B98</f>
        <v>290</v>
      </c>
      <c r="C92" s="24"/>
      <c r="D92" s="15" t="str">
        <f>D98</f>
        <v>Stall Fed</v>
      </c>
      <c r="E92" s="25"/>
      <c r="F92" s="14"/>
      <c r="G92" s="26"/>
      <c r="H92" s="22">
        <v>1.7</v>
      </c>
      <c r="I92" s="17"/>
      <c r="J92" s="18">
        <v>55</v>
      </c>
      <c r="K92" s="42">
        <f>K98</f>
        <v>0.1</v>
      </c>
      <c r="L92" s="63">
        <v>7.0000000000000007E-2</v>
      </c>
      <c r="M92" s="48">
        <f>N98</f>
        <v>0.43</v>
      </c>
      <c r="N92" s="23"/>
      <c r="O92" s="23"/>
      <c r="P92" s="18">
        <f t="shared" si="23"/>
        <v>47.004134641178531</v>
      </c>
      <c r="Q92" s="296"/>
      <c r="R92" s="18">
        <f>R98</f>
        <v>290</v>
      </c>
      <c r="S92" s="3" t="str">
        <f t="shared" si="21"/>
        <v>Draft bullocks</v>
      </c>
      <c r="T92" s="34"/>
      <c r="V92" s="297"/>
      <c r="X92" s="43"/>
      <c r="Y92" s="68"/>
      <c r="Z92" s="68"/>
    </row>
    <row r="93" spans="1:28" x14ac:dyDescent="0.2">
      <c r="A93" s="13" t="str">
        <f>A21</f>
        <v>Replacement/growing</v>
      </c>
      <c r="B93" s="18">
        <f>B99*O99+B104*O104</f>
        <v>152.18905472636817</v>
      </c>
      <c r="C93" s="20">
        <f>C99*O99+C104*O104</f>
        <v>0.20485074626865674</v>
      </c>
      <c r="D93" s="15" t="s">
        <v>6</v>
      </c>
      <c r="E93" s="25">
        <f>E99*N99+E104*N104</f>
        <v>0</v>
      </c>
      <c r="F93" s="14"/>
      <c r="G93" s="26"/>
      <c r="H93" s="24">
        <f>H99*N99+H104*N104</f>
        <v>0</v>
      </c>
      <c r="I93" s="17"/>
      <c r="J93" s="18">
        <f>J99*O99+J104*O104</f>
        <v>56.523631840796021</v>
      </c>
      <c r="K93" s="42">
        <f>K99*O99+K104*O104</f>
        <v>0.10914179104477613</v>
      </c>
      <c r="L93" s="63">
        <v>7.0000000000000007E-2</v>
      </c>
      <c r="M93" s="48">
        <f>N99+N104</f>
        <v>0.1608</v>
      </c>
      <c r="N93" s="23"/>
      <c r="O93" s="23"/>
      <c r="P93" s="18">
        <f t="shared" si="23"/>
        <v>39.647783461532725</v>
      </c>
      <c r="Q93" s="296"/>
      <c r="R93" s="18">
        <f>R99*O99+R104*O104</f>
        <v>201.33084577114431</v>
      </c>
      <c r="S93" s="3" t="str">
        <f t="shared" si="21"/>
        <v>Replacement/growing</v>
      </c>
      <c r="T93" s="27"/>
      <c r="X93" s="43"/>
      <c r="Y93" s="68"/>
      <c r="Z93" s="68"/>
    </row>
    <row r="94" spans="1:28" x14ac:dyDescent="0.2">
      <c r="A94" s="13" t="str">
        <f>A22</f>
        <v>Calves on forage</v>
      </c>
      <c r="B94" s="18">
        <f>B100*O100+B105*O105</f>
        <v>71.992385786802032</v>
      </c>
      <c r="C94" s="20">
        <f>C100*O100+C105*O105</f>
        <v>0.26397208121827409</v>
      </c>
      <c r="D94" s="15" t="s">
        <v>6</v>
      </c>
      <c r="E94" s="25">
        <f>E100*N100+E105*N105</f>
        <v>0</v>
      </c>
      <c r="F94" s="14"/>
      <c r="G94" s="26"/>
      <c r="H94" s="24">
        <f>H100*N100+H105*N105</f>
        <v>0</v>
      </c>
      <c r="I94" s="17"/>
      <c r="J94" s="18">
        <f>J100*O100+J105*O105</f>
        <v>56.998730964467008</v>
      </c>
      <c r="K94" s="42">
        <f>K100*O100+K105*O105</f>
        <v>0.11199238578680204</v>
      </c>
      <c r="L94" s="63">
        <v>7.0000000000000007E-2</v>
      </c>
      <c r="M94" s="48">
        <f>N100+N105</f>
        <v>0.15760000000000002</v>
      </c>
      <c r="N94" s="23"/>
      <c r="O94" s="23"/>
      <c r="P94" s="18">
        <f t="shared" si="23"/>
        <v>28.543751736700365</v>
      </c>
      <c r="Q94" s="296"/>
      <c r="R94" s="18">
        <f>R100*O100+R105*O105</f>
        <v>119.98730964467006</v>
      </c>
      <c r="S94" s="3" t="str">
        <f t="shared" si="21"/>
        <v>Calves on forage</v>
      </c>
      <c r="T94" s="27"/>
      <c r="X94" s="43"/>
      <c r="Y94" s="68"/>
      <c r="Z94" s="68"/>
    </row>
    <row r="95" spans="1:28" x14ac:dyDescent="0.2">
      <c r="A95" s="108" t="s">
        <v>78</v>
      </c>
      <c r="B95" s="121">
        <f>SUMPRODUCT(B96:B100,M96:M100)</f>
        <v>235.6</v>
      </c>
      <c r="C95" s="109"/>
      <c r="D95" s="110"/>
      <c r="E95" s="109"/>
      <c r="F95" s="109"/>
      <c r="G95" s="118"/>
      <c r="H95" s="109"/>
      <c r="I95" s="112"/>
      <c r="J95" s="113"/>
      <c r="K95" s="113"/>
      <c r="L95" s="115"/>
      <c r="M95" s="116">
        <f>SUM(M96:M100)</f>
        <v>1</v>
      </c>
      <c r="N95" s="116">
        <v>0.86</v>
      </c>
      <c r="O95" s="120"/>
      <c r="P95" s="117">
        <f t="shared" si="23"/>
        <v>47.053537239636711</v>
      </c>
      <c r="Q95" s="72"/>
      <c r="R95" s="123"/>
      <c r="S95" s="1" t="str">
        <f t="shared" si="21"/>
        <v>India_low productivity systems</v>
      </c>
      <c r="V95" s="27"/>
      <c r="X95" s="68"/>
    </row>
    <row r="96" spans="1:28" x14ac:dyDescent="0.2">
      <c r="A96" s="13" t="str">
        <f>A90</f>
        <v xml:space="preserve"> Mature Females</v>
      </c>
      <c r="B96" s="14">
        <v>250</v>
      </c>
      <c r="C96" s="24"/>
      <c r="D96" s="15" t="s">
        <v>6</v>
      </c>
      <c r="E96" s="14">
        <v>1.7</v>
      </c>
      <c r="F96" s="14">
        <v>4.5999999999999996</v>
      </c>
      <c r="G96" s="19">
        <v>3.6999999999999998E-2</v>
      </c>
      <c r="H96" s="14"/>
      <c r="I96" s="17">
        <v>0.33</v>
      </c>
      <c r="J96" s="18">
        <v>55</v>
      </c>
      <c r="K96" s="42">
        <v>0.1</v>
      </c>
      <c r="L96" s="61">
        <v>7.0000000000000007E-2</v>
      </c>
      <c r="M96" s="46">
        <v>0.24</v>
      </c>
      <c r="N96" s="36">
        <f>M96*$N$95</f>
        <v>0.2064</v>
      </c>
      <c r="O96" s="64">
        <f>N96/M90</f>
        <v>0.94246575342465755</v>
      </c>
      <c r="P96" s="18">
        <f t="shared" si="23"/>
        <v>61.822859304333839</v>
      </c>
      <c r="R96" s="14">
        <f>B96</f>
        <v>250</v>
      </c>
      <c r="S96" s="3" t="str">
        <f t="shared" si="21"/>
        <v xml:space="preserve"> Mature Females</v>
      </c>
      <c r="T96" s="34"/>
      <c r="V96" s="27"/>
      <c r="X96" s="68"/>
      <c r="Y96" s="43"/>
    </row>
    <row r="97" spans="1:28" x14ac:dyDescent="0.2">
      <c r="A97" s="13" t="str">
        <f>A91</f>
        <v xml:space="preserve"> Mature Males</v>
      </c>
      <c r="B97" s="14">
        <v>290</v>
      </c>
      <c r="C97" s="24"/>
      <c r="D97" s="15" t="s">
        <v>6</v>
      </c>
      <c r="E97" s="24">
        <v>0</v>
      </c>
      <c r="F97" s="14"/>
      <c r="G97" s="26"/>
      <c r="H97" s="14"/>
      <c r="I97" s="17"/>
      <c r="J97" s="18">
        <v>55</v>
      </c>
      <c r="K97" s="42">
        <v>0.1</v>
      </c>
      <c r="L97" s="61">
        <v>7.0000000000000007E-2</v>
      </c>
      <c r="M97" s="46">
        <v>0.02</v>
      </c>
      <c r="N97" s="36">
        <f t="shared" ref="N97:N100" si="25">M97*$N$95</f>
        <v>1.72E-2</v>
      </c>
      <c r="O97" s="64">
        <f>N97/M91</f>
        <v>0.52760736196319014</v>
      </c>
      <c r="P97" s="18">
        <f t="shared" si="23"/>
        <v>54.010962165329374</v>
      </c>
      <c r="R97" s="14">
        <f>B97</f>
        <v>290</v>
      </c>
      <c r="S97" s="3" t="str">
        <f t="shared" si="21"/>
        <v xml:space="preserve"> Mature Males</v>
      </c>
      <c r="T97" s="34"/>
      <c r="V97" s="27"/>
      <c r="X97" s="68"/>
      <c r="Y97" s="43"/>
    </row>
    <row r="98" spans="1:28" x14ac:dyDescent="0.2">
      <c r="A98" s="13" t="s">
        <v>65</v>
      </c>
      <c r="B98" s="14">
        <v>290</v>
      </c>
      <c r="C98" s="24"/>
      <c r="D98" s="15" t="s">
        <v>13</v>
      </c>
      <c r="E98" s="24"/>
      <c r="F98" s="14"/>
      <c r="G98" s="26"/>
      <c r="H98" s="14">
        <v>1.7</v>
      </c>
      <c r="I98" s="17"/>
      <c r="J98" s="18">
        <v>55</v>
      </c>
      <c r="K98" s="42">
        <v>0.1</v>
      </c>
      <c r="L98" s="61">
        <v>7.0000000000000007E-2</v>
      </c>
      <c r="M98" s="46">
        <v>0.5</v>
      </c>
      <c r="N98" s="36">
        <f t="shared" si="25"/>
        <v>0.43</v>
      </c>
      <c r="O98" s="64">
        <v>1</v>
      </c>
      <c r="P98" s="18">
        <f t="shared" si="23"/>
        <v>47.004134641178531</v>
      </c>
      <c r="R98" s="14">
        <f>B98</f>
        <v>290</v>
      </c>
      <c r="S98" s="3" t="str">
        <f t="shared" si="21"/>
        <v>Draft bullocks</v>
      </c>
      <c r="T98" s="34"/>
      <c r="V98" s="27"/>
      <c r="X98" s="68"/>
      <c r="Y98" s="43"/>
    </row>
    <row r="99" spans="1:28" x14ac:dyDescent="0.2">
      <c r="A99" s="13" t="str">
        <f>A93</f>
        <v>Replacement/growing</v>
      </c>
      <c r="B99" s="14">
        <v>140</v>
      </c>
      <c r="C99" s="14">
        <v>0.15</v>
      </c>
      <c r="D99" s="15" t="s">
        <v>6</v>
      </c>
      <c r="E99" s="24">
        <v>0</v>
      </c>
      <c r="F99" s="14"/>
      <c r="G99" s="26"/>
      <c r="H99" s="14"/>
      <c r="I99" s="17"/>
      <c r="J99" s="18">
        <v>55</v>
      </c>
      <c r="K99" s="42">
        <v>0.1</v>
      </c>
      <c r="L99" s="61">
        <v>7.0000000000000007E-2</v>
      </c>
      <c r="M99" s="46">
        <v>0.13</v>
      </c>
      <c r="N99" s="36">
        <f t="shared" si="25"/>
        <v>0.1118</v>
      </c>
      <c r="O99" s="64">
        <f>N99/M93</f>
        <v>0.69527363184079605</v>
      </c>
      <c r="P99" s="18">
        <f t="shared" si="23"/>
        <v>36.589563136691233</v>
      </c>
      <c r="R99" s="18">
        <v>180</v>
      </c>
      <c r="S99" s="3" t="str">
        <f t="shared" si="21"/>
        <v>Replacement/growing</v>
      </c>
      <c r="T99" s="27"/>
      <c r="V99" s="27"/>
      <c r="W99" s="298"/>
      <c r="X99" s="68"/>
      <c r="Y99" s="43"/>
    </row>
    <row r="100" spans="1:28" x14ac:dyDescent="0.2">
      <c r="A100" s="13" t="str">
        <f>A94</f>
        <v>Calves on forage</v>
      </c>
      <c r="B100" s="14">
        <v>60</v>
      </c>
      <c r="C100" s="14">
        <v>0.22</v>
      </c>
      <c r="D100" s="15" t="s">
        <v>6</v>
      </c>
      <c r="E100" s="24">
        <v>0</v>
      </c>
      <c r="F100" s="14"/>
      <c r="G100" s="26"/>
      <c r="H100" s="14"/>
      <c r="I100" s="17"/>
      <c r="J100" s="18">
        <v>55</v>
      </c>
      <c r="K100" s="42">
        <v>0.1</v>
      </c>
      <c r="L100" s="61">
        <v>7.0000000000000007E-2</v>
      </c>
      <c r="M100" s="46">
        <v>0.11</v>
      </c>
      <c r="N100" s="36">
        <f t="shared" si="25"/>
        <v>9.4600000000000004E-2</v>
      </c>
      <c r="O100" s="64">
        <f>N100/M94</f>
        <v>0.60025380710659892</v>
      </c>
      <c r="P100" s="18">
        <f t="shared" si="23"/>
        <v>26.155647590280708</v>
      </c>
      <c r="R100" s="18">
        <v>100</v>
      </c>
      <c r="S100" s="3" t="str">
        <f t="shared" si="21"/>
        <v>Calves on forage</v>
      </c>
      <c r="T100" s="27"/>
      <c r="V100" s="27"/>
      <c r="W100" s="298"/>
      <c r="X100" s="68"/>
      <c r="Y100" s="43"/>
    </row>
    <row r="101" spans="1:28" x14ac:dyDescent="0.2">
      <c r="A101" s="108" t="s">
        <v>79</v>
      </c>
      <c r="B101" s="258">
        <f>SUMPRODUCT(B102:B105,M102:M105)</f>
        <v>166.79999999999998</v>
      </c>
      <c r="C101" s="109"/>
      <c r="D101" s="110"/>
      <c r="E101" s="109"/>
      <c r="F101" s="109"/>
      <c r="G101" s="118"/>
      <c r="H101" s="109"/>
      <c r="I101" s="112"/>
      <c r="J101" s="113"/>
      <c r="K101" s="114"/>
      <c r="L101" s="115"/>
      <c r="M101" s="115">
        <f>SUM(M102:M105)</f>
        <v>1</v>
      </c>
      <c r="N101" s="116">
        <v>0.14000000000000001</v>
      </c>
      <c r="O101" s="119"/>
      <c r="P101" s="117">
        <f t="shared" si="23"/>
        <v>41.461262501560284</v>
      </c>
      <c r="Q101" s="72"/>
      <c r="R101" s="123"/>
      <c r="S101" s="1" t="str">
        <f t="shared" si="21"/>
        <v>India_high productivity systems</v>
      </c>
      <c r="X101" s="68"/>
    </row>
    <row r="102" spans="1:28" x14ac:dyDescent="0.2">
      <c r="A102" s="13" t="str">
        <f>A96</f>
        <v xml:space="preserve"> Mature Females</v>
      </c>
      <c r="B102" s="14">
        <v>300</v>
      </c>
      <c r="C102" s="14"/>
      <c r="D102" s="15" t="s">
        <v>6</v>
      </c>
      <c r="E102" s="16">
        <v>2.5</v>
      </c>
      <c r="F102" s="16">
        <v>4</v>
      </c>
      <c r="G102" s="19">
        <v>3.6999999999999998E-2</v>
      </c>
      <c r="H102" s="14"/>
      <c r="I102" s="17">
        <v>0.4</v>
      </c>
      <c r="J102" s="18">
        <v>60</v>
      </c>
      <c r="K102" s="42">
        <v>0.13</v>
      </c>
      <c r="L102" s="61">
        <v>7.0000000000000007E-2</v>
      </c>
      <c r="M102" s="46">
        <v>0.09</v>
      </c>
      <c r="N102" s="36">
        <f>M102*$N$101</f>
        <v>1.26E-2</v>
      </c>
      <c r="O102" s="36">
        <f>N102/M90</f>
        <v>5.7534246575342465E-2</v>
      </c>
      <c r="P102" s="18">
        <f t="shared" si="23"/>
        <v>63.950915262184445</v>
      </c>
      <c r="R102" s="14">
        <f>B102</f>
        <v>300</v>
      </c>
      <c r="S102" s="3" t="str">
        <f t="shared" si="21"/>
        <v xml:space="preserve"> Mature Females</v>
      </c>
      <c r="T102" s="34"/>
      <c r="X102" s="68"/>
      <c r="Y102" s="43"/>
    </row>
    <row r="103" spans="1:28" x14ac:dyDescent="0.2">
      <c r="A103" s="13" t="str">
        <f>A97</f>
        <v xml:space="preserve"> Mature Males</v>
      </c>
      <c r="B103" s="14">
        <v>330</v>
      </c>
      <c r="C103" s="14"/>
      <c r="D103" s="15" t="s">
        <v>6</v>
      </c>
      <c r="E103" s="24">
        <v>0</v>
      </c>
      <c r="F103" s="14"/>
      <c r="G103" s="26"/>
      <c r="H103" s="14"/>
      <c r="I103" s="17"/>
      <c r="J103" s="18">
        <v>60</v>
      </c>
      <c r="K103" s="42">
        <v>0.13</v>
      </c>
      <c r="L103" s="61">
        <v>7.0000000000000007E-2</v>
      </c>
      <c r="M103" s="46">
        <v>0.11</v>
      </c>
      <c r="N103" s="36">
        <f t="shared" ref="N103:N105" si="26">M103*$N$101</f>
        <v>1.5400000000000002E-2</v>
      </c>
      <c r="O103" s="36">
        <f>N103/M91</f>
        <v>0.47239263803680981</v>
      </c>
      <c r="P103" s="18">
        <f t="shared" si="23"/>
        <v>51.846665828782399</v>
      </c>
      <c r="R103" s="14">
        <f>B103</f>
        <v>330</v>
      </c>
      <c r="S103" s="3" t="str">
        <f t="shared" si="21"/>
        <v xml:space="preserve"> Mature Males</v>
      </c>
      <c r="T103" s="34"/>
      <c r="X103" s="68"/>
      <c r="Y103" s="43"/>
    </row>
    <row r="104" spans="1:28" x14ac:dyDescent="0.2">
      <c r="A104" s="13" t="str">
        <f>A99</f>
        <v>Replacement/growing</v>
      </c>
      <c r="B104" s="14">
        <v>180</v>
      </c>
      <c r="C104" s="14">
        <v>0.33</v>
      </c>
      <c r="D104" s="15" t="s">
        <v>6</v>
      </c>
      <c r="E104" s="24">
        <v>0</v>
      </c>
      <c r="F104" s="14"/>
      <c r="G104" s="26"/>
      <c r="H104" s="14"/>
      <c r="I104" s="17"/>
      <c r="J104" s="18">
        <v>60</v>
      </c>
      <c r="K104" s="42">
        <v>0.13</v>
      </c>
      <c r="L104" s="61">
        <v>7.0000000000000007E-2</v>
      </c>
      <c r="M104" s="46">
        <v>0.35</v>
      </c>
      <c r="N104" s="36">
        <f t="shared" si="26"/>
        <v>4.9000000000000002E-2</v>
      </c>
      <c r="O104" s="36">
        <f>N104/M93</f>
        <v>0.30472636815920401</v>
      </c>
      <c r="P104" s="18">
        <f t="shared" si="23"/>
        <v>45.226198714355327</v>
      </c>
      <c r="R104" s="18">
        <v>250</v>
      </c>
      <c r="S104" s="3" t="str">
        <f t="shared" si="21"/>
        <v>Replacement/growing</v>
      </c>
      <c r="T104" s="27"/>
      <c r="V104" s="27"/>
      <c r="W104" s="298"/>
      <c r="X104" s="68"/>
      <c r="Y104" s="43"/>
    </row>
    <row r="105" spans="1:28" x14ac:dyDescent="0.2">
      <c r="A105" s="13" t="str">
        <f>A100</f>
        <v>Calves on forage</v>
      </c>
      <c r="B105" s="14">
        <v>90</v>
      </c>
      <c r="C105" s="14">
        <v>0.33</v>
      </c>
      <c r="D105" s="15" t="s">
        <v>6</v>
      </c>
      <c r="E105" s="24">
        <v>0</v>
      </c>
      <c r="F105" s="14"/>
      <c r="G105" s="26"/>
      <c r="H105" s="14"/>
      <c r="I105" s="17"/>
      <c r="J105" s="18">
        <v>60</v>
      </c>
      <c r="K105" s="42">
        <v>0.13</v>
      </c>
      <c r="L105" s="61">
        <v>7.0000000000000007E-2</v>
      </c>
      <c r="M105" s="46">
        <v>0.45</v>
      </c>
      <c r="N105" s="36">
        <f t="shared" si="26"/>
        <v>6.3000000000000014E-2</v>
      </c>
      <c r="O105" s="36">
        <f>N105/M94</f>
        <v>0.39974619289340108</v>
      </c>
      <c r="P105" s="18">
        <f t="shared" si="23"/>
        <v>31.496394081718353</v>
      </c>
      <c r="R105" s="18">
        <v>150</v>
      </c>
      <c r="S105" s="3" t="str">
        <f t="shared" si="21"/>
        <v>Calves on forage</v>
      </c>
      <c r="T105" s="27"/>
      <c r="V105" s="27"/>
      <c r="W105" s="298"/>
      <c r="X105" s="68"/>
      <c r="Y105" s="43"/>
    </row>
    <row r="106" spans="1:28" x14ac:dyDescent="0.2">
      <c r="A106" s="76" t="s">
        <v>54</v>
      </c>
      <c r="B106" s="259">
        <f>SUMPRODUCT(B107:B110,M107:M110)</f>
        <v>275.10149999999999</v>
      </c>
      <c r="C106" s="77"/>
      <c r="D106" s="77"/>
      <c r="E106" s="77"/>
      <c r="F106" s="77"/>
      <c r="G106" s="78"/>
      <c r="H106" s="77"/>
      <c r="I106" s="77"/>
      <c r="J106" s="79"/>
      <c r="K106" s="79"/>
      <c r="L106" s="80"/>
      <c r="M106" s="81">
        <f>SUM(M107:M110)</f>
        <v>1</v>
      </c>
      <c r="N106" s="82"/>
      <c r="O106" s="82"/>
      <c r="P106" s="83">
        <f t="shared" si="23"/>
        <v>59.741687093716806</v>
      </c>
      <c r="R106" s="77"/>
      <c r="S106" s="1" t="str">
        <f t="shared" si="21"/>
        <v>Middle East</v>
      </c>
      <c r="T106" s="67"/>
      <c r="AB106" s="8"/>
    </row>
    <row r="107" spans="1:28" x14ac:dyDescent="0.2">
      <c r="A107" s="13" t="str">
        <f>A102</f>
        <v xml:space="preserve"> Mature Females</v>
      </c>
      <c r="B107" s="18">
        <f>B112*O112+B117*O117</f>
        <v>372.02247191011236</v>
      </c>
      <c r="C107" s="24">
        <f>C112*N112+C117*N117</f>
        <v>0</v>
      </c>
      <c r="D107" s="15" t="s">
        <v>6</v>
      </c>
      <c r="E107" s="25">
        <f>E112*O112+E117*O117</f>
        <v>2.4235955056179774</v>
      </c>
      <c r="F107" s="16">
        <f>F112*O112+F117*O117</f>
        <v>3.7258426966292131</v>
      </c>
      <c r="G107" s="19">
        <v>3.2000000000000001E-2</v>
      </c>
      <c r="H107" s="28"/>
      <c r="I107" s="17">
        <f>I112*O112+I117*O117</f>
        <v>0.51235955056179772</v>
      </c>
      <c r="J107" s="18">
        <f>J112*O112+J117*O117</f>
        <v>61.235955056179776</v>
      </c>
      <c r="K107" s="42">
        <f>K112*O112+K117*O117</f>
        <v>0.12494382022471909</v>
      </c>
      <c r="L107" s="63">
        <v>7.0000000000000007E-2</v>
      </c>
      <c r="M107" s="46">
        <f>N112+N117</f>
        <v>0.26700000000000002</v>
      </c>
      <c r="N107" s="17"/>
      <c r="O107" s="17"/>
      <c r="P107" s="18">
        <f t="shared" si="23"/>
        <v>70.656129623982139</v>
      </c>
      <c r="Q107" s="296"/>
      <c r="R107" s="18">
        <f>B107</f>
        <v>372.02247191011236</v>
      </c>
      <c r="S107" s="3" t="str">
        <f t="shared" si="21"/>
        <v xml:space="preserve"> Mature Females</v>
      </c>
      <c r="T107" s="34"/>
      <c r="X107" s="43"/>
      <c r="Y107" s="68"/>
      <c r="Z107" s="68"/>
    </row>
    <row r="108" spans="1:28" x14ac:dyDescent="0.2">
      <c r="A108" s="13" t="str">
        <f>A103</f>
        <v xml:space="preserve"> Mature Males</v>
      </c>
      <c r="B108" s="18">
        <f t="shared" ref="B108:B110" si="27">B113*O113+B118*O118</f>
        <v>518.67052023121391</v>
      </c>
      <c r="C108" s="24">
        <f>C113*N113+C118*N118</f>
        <v>0</v>
      </c>
      <c r="D108" s="15" t="s">
        <v>6</v>
      </c>
      <c r="E108" s="25">
        <f>E113*N113+E118*N118</f>
        <v>0</v>
      </c>
      <c r="F108" s="14"/>
      <c r="G108" s="19"/>
      <c r="H108" s="299">
        <f>0*O118+H113*O113</f>
        <v>0.92173410404624279</v>
      </c>
      <c r="I108" s="17"/>
      <c r="J108" s="18">
        <f t="shared" ref="J108:J110" si="28">J113*O113+J118*O118</f>
        <v>58.662427745664743</v>
      </c>
      <c r="K108" s="42">
        <f t="shared" ref="K108:K110" si="29">K113*O113+K118*O118</f>
        <v>0.12915606936416185</v>
      </c>
      <c r="L108" s="63">
        <v>7.0000000000000007E-2</v>
      </c>
      <c r="M108" s="46">
        <f t="shared" ref="M108:M110" si="30">N113+N118</f>
        <v>8.6500000000000007E-2</v>
      </c>
      <c r="N108" s="17"/>
      <c r="O108" s="17"/>
      <c r="P108" s="18">
        <f t="shared" si="23"/>
        <v>75.346851544226951</v>
      </c>
      <c r="Q108" s="296"/>
      <c r="R108" s="18">
        <f>B108</f>
        <v>518.67052023121391</v>
      </c>
      <c r="S108" s="3" t="str">
        <f t="shared" si="21"/>
        <v xml:space="preserve"> Mature Males</v>
      </c>
      <c r="T108" s="34"/>
      <c r="X108" s="43"/>
      <c r="Y108" s="68"/>
      <c r="Z108" s="68"/>
    </row>
    <row r="109" spans="1:28" x14ac:dyDescent="0.2">
      <c r="A109" s="13" t="str">
        <f>A104</f>
        <v>Replacement/growing</v>
      </c>
      <c r="B109" s="18">
        <f t="shared" si="27"/>
        <v>249.5</v>
      </c>
      <c r="C109" s="20">
        <f>C114*O114+C119*O119</f>
        <v>0.33250000000000002</v>
      </c>
      <c r="D109" s="15" t="s">
        <v>6</v>
      </c>
      <c r="E109" s="25">
        <f>E114*N114+E119*N119</f>
        <v>0</v>
      </c>
      <c r="F109" s="14"/>
      <c r="G109" s="19"/>
      <c r="H109" s="28"/>
      <c r="I109" s="17"/>
      <c r="J109" s="18">
        <f t="shared" si="28"/>
        <v>57.64</v>
      </c>
      <c r="K109" s="42">
        <f t="shared" si="29"/>
        <v>0.12659999999999999</v>
      </c>
      <c r="L109" s="63">
        <v>7.0000000000000007E-2</v>
      </c>
      <c r="M109" s="46">
        <f t="shared" si="30"/>
        <v>0.42</v>
      </c>
      <c r="N109" s="17"/>
      <c r="O109" s="17"/>
      <c r="P109" s="18">
        <f t="shared" si="23"/>
        <v>57.099497926286276</v>
      </c>
      <c r="Q109" s="296"/>
      <c r="R109" s="18">
        <f>R114*O114+R119*O119</f>
        <v>356.1</v>
      </c>
      <c r="S109" s="3" t="str">
        <f t="shared" si="21"/>
        <v>Replacement/growing</v>
      </c>
      <c r="T109" s="27"/>
      <c r="V109" s="27"/>
      <c r="X109" s="43"/>
      <c r="Y109" s="300"/>
      <c r="Z109" s="68"/>
    </row>
    <row r="110" spans="1:28" x14ac:dyDescent="0.2">
      <c r="A110" s="13" t="str">
        <f>A105</f>
        <v>Calves on forage</v>
      </c>
      <c r="B110" s="18">
        <f t="shared" si="27"/>
        <v>115.30463576158941</v>
      </c>
      <c r="C110" s="20">
        <f>C115*O115+C120*O120</f>
        <v>0.5136423841059603</v>
      </c>
      <c r="D110" s="15" t="s">
        <v>6</v>
      </c>
      <c r="E110" s="25">
        <f>E115*N115+E120*N120</f>
        <v>0</v>
      </c>
      <c r="F110" s="14"/>
      <c r="G110" s="19"/>
      <c r="H110" s="28"/>
      <c r="I110" s="17"/>
      <c r="J110" s="18">
        <f t="shared" si="28"/>
        <v>58.030463576158944</v>
      </c>
      <c r="K110" s="42">
        <f t="shared" si="29"/>
        <v>0.12757615894039737</v>
      </c>
      <c r="L110" s="63">
        <v>7.0000000000000007E-2</v>
      </c>
      <c r="M110" s="46">
        <f t="shared" si="30"/>
        <v>0.22649999999999998</v>
      </c>
      <c r="N110" s="17"/>
      <c r="O110" s="17"/>
      <c r="P110" s="18">
        <f t="shared" si="23"/>
        <v>45.8154909337647</v>
      </c>
      <c r="Q110" s="296"/>
      <c r="R110" s="18">
        <f>R115*O115+R120*O120</f>
        <v>206.82119205298017</v>
      </c>
      <c r="S110" s="3" t="str">
        <f t="shared" si="21"/>
        <v>Calves on forage</v>
      </c>
      <c r="T110" s="27"/>
      <c r="V110" s="27"/>
      <c r="W110" s="298"/>
      <c r="X110" s="43"/>
      <c r="Y110" s="68"/>
      <c r="Z110" s="68"/>
    </row>
    <row r="111" spans="1:28" x14ac:dyDescent="0.2">
      <c r="A111" s="108" t="s">
        <v>80</v>
      </c>
      <c r="B111" s="258">
        <f>SUMPRODUCT(B112:B115,M112:M115)</f>
        <v>232.35</v>
      </c>
      <c r="C111" s="109"/>
      <c r="D111" s="110"/>
      <c r="E111" s="109"/>
      <c r="F111" s="109"/>
      <c r="G111" s="111"/>
      <c r="H111" s="109"/>
      <c r="I111" s="112"/>
      <c r="J111" s="113"/>
      <c r="K111" s="114"/>
      <c r="L111" s="115"/>
      <c r="M111" s="116">
        <f>SUM(M112:M115)</f>
        <v>1</v>
      </c>
      <c r="N111" s="116">
        <v>0.67</v>
      </c>
      <c r="O111" s="116"/>
      <c r="P111" s="117">
        <f t="shared" si="23"/>
        <v>55.690788058715256</v>
      </c>
      <c r="R111" s="123"/>
      <c r="S111" s="1" t="str">
        <f t="shared" si="21"/>
        <v>Middle East_low productivity systems</v>
      </c>
      <c r="V111" s="27"/>
      <c r="X111" s="68"/>
    </row>
    <row r="112" spans="1:28" x14ac:dyDescent="0.2">
      <c r="A112" s="13" t="str">
        <f>A107</f>
        <v xml:space="preserve"> Mature Females</v>
      </c>
      <c r="B112" s="14">
        <v>330</v>
      </c>
      <c r="C112" s="24">
        <v>0</v>
      </c>
      <c r="D112" s="15" t="s">
        <v>6</v>
      </c>
      <c r="E112" s="16">
        <v>2.2999999999999998</v>
      </c>
      <c r="F112" s="16">
        <v>3.8</v>
      </c>
      <c r="G112" s="19">
        <v>3.2000000000000001E-2</v>
      </c>
      <c r="H112" s="14"/>
      <c r="I112" s="17">
        <v>0.5</v>
      </c>
      <c r="J112" s="18">
        <v>60</v>
      </c>
      <c r="K112" s="42">
        <v>0.12</v>
      </c>
      <c r="L112" s="61">
        <v>7.0000000000000007E-2</v>
      </c>
      <c r="M112" s="46">
        <v>0.3</v>
      </c>
      <c r="N112" s="36">
        <f>M112*$N$111</f>
        <v>0.20100000000000001</v>
      </c>
      <c r="O112" s="36">
        <f>N112/M107</f>
        <v>0.7528089887640449</v>
      </c>
      <c r="P112" s="18">
        <f t="shared" si="23"/>
        <v>67.037843444407969</v>
      </c>
      <c r="R112" s="14">
        <f>B112</f>
        <v>330</v>
      </c>
      <c r="S112" s="3" t="str">
        <f t="shared" si="21"/>
        <v xml:space="preserve"> Mature Females</v>
      </c>
      <c r="T112" s="34"/>
      <c r="V112" s="27"/>
      <c r="X112" s="68"/>
    </row>
    <row r="113" spans="1:31" x14ac:dyDescent="0.2">
      <c r="A113" s="13" t="str">
        <f>A108</f>
        <v xml:space="preserve"> Mature Males</v>
      </c>
      <c r="B113" s="14">
        <v>450</v>
      </c>
      <c r="C113" s="24">
        <v>0</v>
      </c>
      <c r="D113" s="15" t="s">
        <v>6</v>
      </c>
      <c r="E113" s="24">
        <v>0</v>
      </c>
      <c r="F113" s="14"/>
      <c r="G113" s="19"/>
      <c r="H113" s="14">
        <v>1.7</v>
      </c>
      <c r="I113" s="17"/>
      <c r="J113" s="18">
        <v>55</v>
      </c>
      <c r="K113" s="42">
        <v>0.12</v>
      </c>
      <c r="L113" s="61">
        <v>7.0000000000000007E-2</v>
      </c>
      <c r="M113" s="46">
        <v>7.0000000000000007E-2</v>
      </c>
      <c r="N113" s="36">
        <f t="shared" ref="N113:N115" si="31">M113*$N$111</f>
        <v>4.6900000000000004E-2</v>
      </c>
      <c r="O113" s="36">
        <f>N113/M108</f>
        <v>0.54219653179190752</v>
      </c>
      <c r="P113" s="18">
        <f t="shared" si="23"/>
        <v>86.00263101770183</v>
      </c>
      <c r="R113" s="14">
        <f>B113</f>
        <v>450</v>
      </c>
      <c r="S113" s="3" t="str">
        <f t="shared" si="21"/>
        <v xml:space="preserve"> Mature Males</v>
      </c>
      <c r="T113" s="34"/>
      <c r="V113" s="27"/>
      <c r="X113" s="68"/>
    </row>
    <row r="114" spans="1:31" x14ac:dyDescent="0.2">
      <c r="A114" s="13" t="str">
        <f>A109</f>
        <v>Replacement/growing</v>
      </c>
      <c r="B114" s="14">
        <v>200</v>
      </c>
      <c r="C114" s="20">
        <v>0.25</v>
      </c>
      <c r="D114" s="15" t="s">
        <v>6</v>
      </c>
      <c r="E114" s="24">
        <v>0</v>
      </c>
      <c r="F114" s="14"/>
      <c r="G114" s="19"/>
      <c r="H114" s="14"/>
      <c r="I114" s="17"/>
      <c r="J114" s="18">
        <v>55</v>
      </c>
      <c r="K114" s="42">
        <v>0.12</v>
      </c>
      <c r="L114" s="61">
        <v>7.0000000000000007E-2</v>
      </c>
      <c r="M114" s="46">
        <v>0.42</v>
      </c>
      <c r="N114" s="36">
        <f t="shared" si="31"/>
        <v>0.28139999999999998</v>
      </c>
      <c r="O114" s="36">
        <f>N114/M109</f>
        <v>0.67</v>
      </c>
      <c r="P114" s="18">
        <f t="shared" ref="P114:P120" si="32">S238</f>
        <v>50.185341399466836</v>
      </c>
      <c r="R114" s="18">
        <v>300</v>
      </c>
      <c r="S114" s="3" t="str">
        <f t="shared" si="21"/>
        <v>Replacement/growing</v>
      </c>
      <c r="T114" s="27"/>
      <c r="U114" s="6"/>
      <c r="V114" s="27"/>
      <c r="X114" s="68"/>
    </row>
    <row r="115" spans="1:31" x14ac:dyDescent="0.2">
      <c r="A115" s="13" t="str">
        <f>A110</f>
        <v>Calves on forage</v>
      </c>
      <c r="B115" s="14">
        <v>85</v>
      </c>
      <c r="C115" s="20">
        <v>0.4</v>
      </c>
      <c r="D115" s="15" t="s">
        <v>6</v>
      </c>
      <c r="E115" s="24">
        <v>0</v>
      </c>
      <c r="F115" s="14"/>
      <c r="G115" s="19"/>
      <c r="H115" s="14"/>
      <c r="I115" s="17"/>
      <c r="J115" s="18">
        <v>55</v>
      </c>
      <c r="K115" s="42">
        <v>0.12</v>
      </c>
      <c r="L115" s="61">
        <v>7.0000000000000007E-2</v>
      </c>
      <c r="M115" s="46">
        <v>0.21</v>
      </c>
      <c r="N115" s="36">
        <f t="shared" si="31"/>
        <v>0.14069999999999999</v>
      </c>
      <c r="O115" s="36">
        <f>N115/M110</f>
        <v>0.62119205298013247</v>
      </c>
      <c r="P115" s="18">
        <f t="shared" si="32"/>
        <v>40.387654601798396</v>
      </c>
      <c r="R115" s="18">
        <v>150</v>
      </c>
      <c r="S115" s="3" t="str">
        <f t="shared" si="21"/>
        <v>Calves on forage</v>
      </c>
      <c r="T115" s="27"/>
      <c r="U115" s="6"/>
      <c r="V115" s="27"/>
      <c r="X115" s="68"/>
    </row>
    <row r="116" spans="1:31" x14ac:dyDescent="0.2">
      <c r="A116" s="108" t="s">
        <v>81</v>
      </c>
      <c r="B116" s="258">
        <f>SUMPRODUCT(B117:B120,M117:M120)</f>
        <v>361.9</v>
      </c>
      <c r="C116" s="109"/>
      <c r="D116" s="110"/>
      <c r="E116" s="109"/>
      <c r="F116" s="109"/>
      <c r="G116" s="111"/>
      <c r="H116" s="109"/>
      <c r="I116" s="112"/>
      <c r="J116" s="113"/>
      <c r="K116" s="114"/>
      <c r="L116" s="115"/>
      <c r="M116" s="116">
        <f>SUM(M117:M120)</f>
        <v>1</v>
      </c>
      <c r="N116" s="116">
        <v>0.33</v>
      </c>
      <c r="O116" s="116"/>
      <c r="P116" s="117">
        <f t="shared" si="32"/>
        <v>60.415083261948254</v>
      </c>
      <c r="R116" s="123"/>
      <c r="S116" s="1" t="str">
        <f t="shared" si="21"/>
        <v>Middle East_high productivity systems</v>
      </c>
      <c r="U116" s="6"/>
      <c r="X116" s="68"/>
    </row>
    <row r="117" spans="1:31" x14ac:dyDescent="0.2">
      <c r="A117" s="13" t="str">
        <f>A102</f>
        <v xml:space="preserve"> Mature Females</v>
      </c>
      <c r="B117" s="14">
        <v>500</v>
      </c>
      <c r="C117" s="14"/>
      <c r="D117" s="15" t="s">
        <v>6</v>
      </c>
      <c r="E117" s="16">
        <v>2.8</v>
      </c>
      <c r="F117" s="14">
        <v>3.5</v>
      </c>
      <c r="G117" s="19">
        <v>3.3000000000000002E-2</v>
      </c>
      <c r="H117" s="14"/>
      <c r="I117" s="17">
        <v>0.55000000000000004</v>
      </c>
      <c r="J117" s="18">
        <v>65</v>
      </c>
      <c r="K117" s="42">
        <v>0.14000000000000001</v>
      </c>
      <c r="L117" s="61">
        <v>6.3E-2</v>
      </c>
      <c r="M117" s="46">
        <v>0.2</v>
      </c>
      <c r="N117" s="36">
        <f>M117*$N$116</f>
        <v>6.6000000000000003E-2</v>
      </c>
      <c r="O117" s="36">
        <f>N117/M107</f>
        <v>0.24719101123595505</v>
      </c>
      <c r="P117" s="18">
        <f t="shared" si="32"/>
        <v>71.799477777732506</v>
      </c>
      <c r="R117" s="14">
        <f>B117</f>
        <v>500</v>
      </c>
      <c r="S117" s="3" t="str">
        <f t="shared" si="21"/>
        <v xml:space="preserve"> Mature Females</v>
      </c>
      <c r="T117" s="34"/>
      <c r="U117" s="6"/>
      <c r="X117" s="68"/>
    </row>
    <row r="118" spans="1:31" x14ac:dyDescent="0.2">
      <c r="A118" s="13" t="str">
        <f>A113</f>
        <v xml:space="preserve"> Mature Males</v>
      </c>
      <c r="B118" s="14">
        <v>600</v>
      </c>
      <c r="C118" s="14"/>
      <c r="D118" s="15" t="s">
        <v>6</v>
      </c>
      <c r="E118" s="24">
        <v>0</v>
      </c>
      <c r="F118" s="14"/>
      <c r="G118" s="19"/>
      <c r="H118" s="14"/>
      <c r="I118" s="17"/>
      <c r="J118" s="18">
        <v>63</v>
      </c>
      <c r="K118" s="42">
        <v>0.14000000000000001</v>
      </c>
      <c r="L118" s="61">
        <v>6.3E-2</v>
      </c>
      <c r="M118" s="46">
        <v>0.12</v>
      </c>
      <c r="N118" s="36">
        <f t="shared" ref="N118:N120" si="33">M118*$N$116</f>
        <v>3.9600000000000003E-2</v>
      </c>
      <c r="O118" s="36">
        <f>N118/M108</f>
        <v>0.45780346820809248</v>
      </c>
      <c r="P118" s="18">
        <f t="shared" si="32"/>
        <v>67.929807623641381</v>
      </c>
      <c r="R118" s="14">
        <f>B118</f>
        <v>600</v>
      </c>
      <c r="S118" s="3" t="str">
        <f t="shared" si="21"/>
        <v xml:space="preserve"> Mature Males</v>
      </c>
      <c r="T118" s="34"/>
      <c r="U118" s="6"/>
      <c r="X118" s="68"/>
    </row>
    <row r="119" spans="1:31" x14ac:dyDescent="0.2">
      <c r="A119" s="13" t="str">
        <f>A114</f>
        <v>Replacement/growing</v>
      </c>
      <c r="B119" s="14">
        <v>350</v>
      </c>
      <c r="C119" s="20">
        <v>0.5</v>
      </c>
      <c r="D119" s="15" t="s">
        <v>6</v>
      </c>
      <c r="E119" s="24">
        <v>0</v>
      </c>
      <c r="F119" s="14"/>
      <c r="G119" s="14"/>
      <c r="H119" s="14"/>
      <c r="I119" s="17"/>
      <c r="J119" s="18">
        <v>63</v>
      </c>
      <c r="K119" s="42">
        <v>0.14000000000000001</v>
      </c>
      <c r="L119" s="61">
        <v>6.3E-2</v>
      </c>
      <c r="M119" s="46">
        <v>0.42</v>
      </c>
      <c r="N119" s="36">
        <f t="shared" si="33"/>
        <v>0.1386</v>
      </c>
      <c r="O119" s="36">
        <f>N119/M109</f>
        <v>0.33</v>
      </c>
      <c r="P119" s="18">
        <f t="shared" si="32"/>
        <v>60.989857373100278</v>
      </c>
      <c r="R119" s="18">
        <v>470</v>
      </c>
      <c r="S119" s="3" t="str">
        <f t="shared" si="21"/>
        <v>Replacement/growing</v>
      </c>
      <c r="T119" s="27"/>
      <c r="U119" s="6"/>
      <c r="V119" s="27"/>
      <c r="X119" s="68"/>
    </row>
    <row r="120" spans="1:31" x14ac:dyDescent="0.2">
      <c r="A120" s="13" t="str">
        <f>A115</f>
        <v>Calves on forage</v>
      </c>
      <c r="B120" s="14">
        <v>165</v>
      </c>
      <c r="C120" s="20">
        <v>0.7</v>
      </c>
      <c r="D120" s="15" t="s">
        <v>6</v>
      </c>
      <c r="E120" s="24">
        <v>0</v>
      </c>
      <c r="F120" s="14"/>
      <c r="G120" s="14"/>
      <c r="H120" s="14"/>
      <c r="I120" s="17"/>
      <c r="J120" s="18">
        <v>63</v>
      </c>
      <c r="K120" s="42">
        <v>0.14000000000000001</v>
      </c>
      <c r="L120" s="19">
        <v>6.3E-2</v>
      </c>
      <c r="M120" s="46">
        <v>0.26</v>
      </c>
      <c r="N120" s="36">
        <f t="shared" si="33"/>
        <v>8.5800000000000001E-2</v>
      </c>
      <c r="O120" s="36">
        <f>N120/M110</f>
        <v>0.37880794701986759</v>
      </c>
      <c r="P120" s="18">
        <f t="shared" si="32"/>
        <v>47.261041134087222</v>
      </c>
      <c r="R120" s="18">
        <v>300</v>
      </c>
      <c r="S120" s="3" t="str">
        <f t="shared" si="21"/>
        <v>Calves on forage</v>
      </c>
      <c r="T120" s="27"/>
      <c r="U120" s="6"/>
      <c r="V120" s="27"/>
      <c r="X120" s="68"/>
    </row>
    <row r="121" spans="1:31" x14ac:dyDescent="0.2">
      <c r="L121" s="45"/>
      <c r="M121" s="3"/>
      <c r="R121" s="6"/>
    </row>
    <row r="122" spans="1:31" x14ac:dyDescent="0.2">
      <c r="E122" s="301"/>
      <c r="I122" s="242"/>
    </row>
    <row r="123" spans="1:31" x14ac:dyDescent="0.2">
      <c r="A123" s="8"/>
      <c r="I123" s="242"/>
      <c r="AE123" s="302"/>
    </row>
    <row r="124" spans="1:31" x14ac:dyDescent="0.2">
      <c r="A124" s="1"/>
      <c r="AE124" s="302"/>
    </row>
    <row r="125" spans="1:31" x14ac:dyDescent="0.2">
      <c r="A125" s="1" t="s">
        <v>40</v>
      </c>
      <c r="AB125" s="302"/>
    </row>
    <row r="126" spans="1:31" ht="13.5" thickBot="1" x14ac:dyDescent="0.25">
      <c r="A126" s="1"/>
      <c r="AB126" s="302"/>
    </row>
    <row r="127" spans="1:31" ht="51.75" thickTop="1" x14ac:dyDescent="0.2">
      <c r="A127" s="152" t="s">
        <v>0</v>
      </c>
      <c r="B127" s="152" t="s">
        <v>26</v>
      </c>
      <c r="C127" s="153" t="s">
        <v>41</v>
      </c>
      <c r="D127" s="152" t="s">
        <v>91</v>
      </c>
      <c r="E127" s="152" t="s">
        <v>27</v>
      </c>
      <c r="F127" s="153" t="str">
        <f>F4</f>
        <v>Milk fat,%</v>
      </c>
      <c r="G127" s="153" t="str">
        <f>G4</f>
        <v>Milk protein, %</v>
      </c>
      <c r="H127" s="154" t="s">
        <v>122</v>
      </c>
      <c r="I127" s="153" t="s">
        <v>28</v>
      </c>
      <c r="J127" s="153" t="str">
        <f>E4</f>
        <v>Milk, kg/day</v>
      </c>
      <c r="K127" s="153" t="s">
        <v>2</v>
      </c>
      <c r="L127" s="153" t="s">
        <v>29</v>
      </c>
      <c r="M127" s="152" t="s">
        <v>30</v>
      </c>
      <c r="N127" s="153" t="str">
        <f>I4</f>
        <v>Pregnant, %</v>
      </c>
      <c r="O127" s="153" t="s">
        <v>39</v>
      </c>
      <c r="P127" s="152" t="s">
        <v>38</v>
      </c>
      <c r="Q127" s="253" t="s">
        <v>31</v>
      </c>
      <c r="R127" s="154" t="str">
        <f>M4</f>
        <v>Day Weighted Population Mix %</v>
      </c>
      <c r="S127" s="253" t="s">
        <v>32</v>
      </c>
      <c r="U127" s="175" t="s">
        <v>33</v>
      </c>
      <c r="Y127" s="60"/>
      <c r="AB127" s="302"/>
      <c r="AC127" s="12"/>
    </row>
    <row r="128" spans="1:31" ht="13.5" thickBot="1" x14ac:dyDescent="0.25">
      <c r="A128" s="133"/>
      <c r="B128" s="133" t="s">
        <v>89</v>
      </c>
      <c r="C128" s="132" t="s">
        <v>90</v>
      </c>
      <c r="D128" s="133" t="s">
        <v>92</v>
      </c>
      <c r="E128" s="133" t="s">
        <v>93</v>
      </c>
      <c r="F128" s="132"/>
      <c r="G128" s="132"/>
      <c r="H128" s="132" t="s">
        <v>93</v>
      </c>
      <c r="I128" s="132" t="s">
        <v>94</v>
      </c>
      <c r="J128" s="132"/>
      <c r="K128" s="132"/>
      <c r="L128" s="132" t="s">
        <v>95</v>
      </c>
      <c r="M128" s="133" t="s">
        <v>96</v>
      </c>
      <c r="N128" s="132"/>
      <c r="O128" s="132" t="s">
        <v>97</v>
      </c>
      <c r="P128" s="134" t="s">
        <v>98</v>
      </c>
      <c r="Q128" s="150" t="s">
        <v>99</v>
      </c>
      <c r="R128" s="151"/>
      <c r="S128" s="150" t="s">
        <v>100</v>
      </c>
      <c r="U128" s="150" t="s">
        <v>34</v>
      </c>
      <c r="Y128" s="12"/>
      <c r="AB128" s="302"/>
    </row>
    <row r="129" spans="1:36" x14ac:dyDescent="0.2">
      <c r="A129" s="84" t="s">
        <v>47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49">
        <f>SUMPRODUCT(Q130:Q136,M6:M12)</f>
        <v>164.07615523127524</v>
      </c>
      <c r="R129" s="69"/>
      <c r="S129" s="167">
        <f>SUMPRODUCT(S130:S136,M6:M12)</f>
        <v>64.208714330721435</v>
      </c>
      <c r="T129" s="2"/>
      <c r="U129" s="168"/>
      <c r="V129" s="1" t="str">
        <f>A129</f>
        <v>North America</v>
      </c>
      <c r="Z129" s="8"/>
      <c r="AB129" s="302"/>
      <c r="AC129" s="8"/>
    </row>
    <row r="130" spans="1:36" x14ac:dyDescent="0.2">
      <c r="A130" s="49" t="s">
        <v>5</v>
      </c>
      <c r="B130" s="50">
        <f t="shared" ref="B130:B136" si="34">C130*B6^0.75</f>
        <v>45.620317118577937</v>
      </c>
      <c r="C130" s="50">
        <v>0.38600000000000001</v>
      </c>
      <c r="D130" s="51">
        <f>IF(D6="Stall fed",0,IF(D6="Large Areas",0.36*B130,0.17*B130))</f>
        <v>7.7554539101582503</v>
      </c>
      <c r="E130" s="52">
        <f t="shared" ref="E130:E136" si="35">22.02*(B6/(H130*R6))^0.75*C6^1.097</f>
        <v>0</v>
      </c>
      <c r="F130" s="29">
        <f>F6</f>
        <v>4</v>
      </c>
      <c r="G130" s="73">
        <f>G6</f>
        <v>3.5000000000000003E-2</v>
      </c>
      <c r="H130" s="29">
        <v>0.8</v>
      </c>
      <c r="I130" s="56">
        <f t="shared" ref="I130:I158" si="36">J130*(1.47+0.4*F6)</f>
        <v>9.2100000000000009</v>
      </c>
      <c r="J130" s="14">
        <f>E6</f>
        <v>3</v>
      </c>
      <c r="K130" s="14"/>
      <c r="L130" s="56">
        <f t="shared" ref="L130:L136" si="37">0.1*B130*H6</f>
        <v>0</v>
      </c>
      <c r="M130" s="56">
        <f t="shared" ref="M130:M136" si="38">0.1*B130*N130</f>
        <v>3.6496253694862357</v>
      </c>
      <c r="N130" s="17">
        <f>I6</f>
        <v>0.8</v>
      </c>
      <c r="O130" s="50">
        <f t="shared" ref="O130:O136" si="39">1.123-(4.092*10^-3*J6)+(1.126*10^-5*J6^2)-(25.4/J6)</f>
        <v>0.50290202064516132</v>
      </c>
      <c r="P130" s="50">
        <f t="shared" ref="P130:P136" si="40">1.164-(5.16*10^-3*J6)+(1.308*10^-5*J6^2)-37.4/J6</f>
        <v>0.29113371354838713</v>
      </c>
      <c r="Q130" s="75">
        <f t="shared" ref="Q130:Q136" si="41">((B130+D130+I130+L130+M130)/O130+(E130/P130))/(J6/100)</f>
        <v>212.4296187480229</v>
      </c>
      <c r="R130" s="135">
        <f t="shared" ref="R130:R136" si="42">M6</f>
        <v>0.35</v>
      </c>
      <c r="S130" s="75">
        <f>Q130*L6*365/A249</f>
        <v>97.530579676765242</v>
      </c>
      <c r="T130" s="2"/>
      <c r="U130" s="169">
        <f t="shared" ref="U130:U136" si="43">Q130/$A$253/B6</f>
        <v>1.985138012784066E-2</v>
      </c>
      <c r="V130" s="3" t="str">
        <f t="shared" ref="V130:V193" si="44">A130</f>
        <v>Mature Females</v>
      </c>
      <c r="Y130" s="27"/>
      <c r="AB130" s="302"/>
      <c r="AJ130" s="8"/>
    </row>
    <row r="131" spans="1:36" x14ac:dyDescent="0.2">
      <c r="A131" s="49" t="s">
        <v>7</v>
      </c>
      <c r="B131" s="50">
        <f t="shared" si="34"/>
        <v>56.697265488227472</v>
      </c>
      <c r="C131" s="50">
        <v>0.37</v>
      </c>
      <c r="D131" s="51">
        <f>IF(D7="Stall fed",0,IF(D7="Large Areas",0.37*B131,0.17*B131))</f>
        <v>9.6385351329986708</v>
      </c>
      <c r="E131" s="52">
        <f t="shared" si="35"/>
        <v>0</v>
      </c>
      <c r="F131" s="58"/>
      <c r="G131" s="73"/>
      <c r="H131" s="29">
        <v>1.2</v>
      </c>
      <c r="I131" s="56">
        <f t="shared" si="36"/>
        <v>0</v>
      </c>
      <c r="J131" s="14">
        <v>0</v>
      </c>
      <c r="K131" s="14"/>
      <c r="L131" s="56">
        <f t="shared" si="37"/>
        <v>0</v>
      </c>
      <c r="M131" s="56">
        <f t="shared" si="38"/>
        <v>0</v>
      </c>
      <c r="N131" s="17"/>
      <c r="O131" s="50">
        <f t="shared" si="39"/>
        <v>0.50290202064516132</v>
      </c>
      <c r="P131" s="50">
        <f t="shared" si="40"/>
        <v>0.29113371354838713</v>
      </c>
      <c r="Q131" s="75">
        <f t="shared" si="41"/>
        <v>212.75163434652768</v>
      </c>
      <c r="R131" s="135">
        <f t="shared" si="42"/>
        <v>0.02</v>
      </c>
      <c r="S131" s="75">
        <f>Q131*L7*365/A249</f>
        <v>97.678423316330338</v>
      </c>
      <c r="T131" s="2"/>
      <c r="U131" s="169">
        <f t="shared" si="43"/>
        <v>1.4062504748927734E-2</v>
      </c>
      <c r="V131" s="3" t="str">
        <f t="shared" si="44"/>
        <v>Mature Males</v>
      </c>
      <c r="Y131" s="27"/>
      <c r="AB131" s="302"/>
    </row>
    <row r="132" spans="1:36" x14ac:dyDescent="0.2">
      <c r="A132" s="49" t="s">
        <v>8</v>
      </c>
      <c r="B132" s="50">
        <f t="shared" si="34"/>
        <v>12.037557688830825</v>
      </c>
      <c r="C132" s="50">
        <v>0.32200000000000001</v>
      </c>
      <c r="D132" s="51">
        <f>IF(D8="Stall fed",0,IF(D8="Large Areas",0.37*B132,0.17*B132))</f>
        <v>2.0463848071012403</v>
      </c>
      <c r="E132" s="52">
        <f t="shared" si="35"/>
        <v>10.489272458663665</v>
      </c>
      <c r="F132" s="58"/>
      <c r="G132" s="73"/>
      <c r="H132" s="29">
        <v>0.8</v>
      </c>
      <c r="I132" s="56">
        <f t="shared" si="36"/>
        <v>0</v>
      </c>
      <c r="J132" s="14">
        <v>0</v>
      </c>
      <c r="K132" s="14"/>
      <c r="L132" s="56">
        <f t="shared" si="37"/>
        <v>0</v>
      </c>
      <c r="M132" s="56">
        <f t="shared" si="38"/>
        <v>0</v>
      </c>
      <c r="N132" s="17"/>
      <c r="O132" s="50">
        <f t="shared" si="39"/>
        <v>0.56851307894736836</v>
      </c>
      <c r="P132" s="50">
        <f t="shared" si="40"/>
        <v>0.39816278947368422</v>
      </c>
      <c r="Q132" s="75">
        <f t="shared" si="41"/>
        <v>53.807869635669512</v>
      </c>
      <c r="R132" s="135">
        <f t="shared" si="42"/>
        <v>0.16</v>
      </c>
      <c r="S132" s="75">
        <f>Q132*L8*365/A249</f>
        <v>0</v>
      </c>
      <c r="T132" s="2"/>
      <c r="U132" s="169">
        <f t="shared" si="43"/>
        <v>2.3331325587282174E-2</v>
      </c>
      <c r="V132" s="3" t="str">
        <f t="shared" si="44"/>
        <v>Calves on milk</v>
      </c>
      <c r="Y132" s="27"/>
      <c r="AB132" s="302"/>
    </row>
    <row r="133" spans="1:36" x14ac:dyDescent="0.2">
      <c r="A133" s="49" t="s">
        <v>9</v>
      </c>
      <c r="B133" s="50">
        <f t="shared" si="34"/>
        <v>18.079429272115519</v>
      </c>
      <c r="C133" s="50">
        <v>0.32200000000000001</v>
      </c>
      <c r="D133" s="51">
        <f>IF(D9="Stall fed",0,IF(D9="Large Areas",0.36*B133,0.17*B133))</f>
        <v>3.0735029762596384</v>
      </c>
      <c r="E133" s="52">
        <f t="shared" si="35"/>
        <v>15.754031210859202</v>
      </c>
      <c r="F133" s="58"/>
      <c r="G133" s="73"/>
      <c r="H133" s="29">
        <v>0.8</v>
      </c>
      <c r="I133" s="56">
        <f t="shared" si="36"/>
        <v>0</v>
      </c>
      <c r="J133" s="14">
        <v>0</v>
      </c>
      <c r="K133" s="14"/>
      <c r="L133" s="56">
        <f t="shared" si="37"/>
        <v>0</v>
      </c>
      <c r="M133" s="56">
        <f t="shared" si="38"/>
        <v>0</v>
      </c>
      <c r="N133" s="17"/>
      <c r="O133" s="50">
        <f t="shared" si="39"/>
        <v>0.51382426923076929</v>
      </c>
      <c r="P133" s="50">
        <f t="shared" si="40"/>
        <v>0.30847838461538446</v>
      </c>
      <c r="Q133" s="75">
        <f t="shared" si="41"/>
        <v>141.90426070015033</v>
      </c>
      <c r="R133" s="135">
        <f t="shared" si="42"/>
        <v>0.08</v>
      </c>
      <c r="S133" s="75">
        <f>Q133*L9*365/A249</f>
        <v>58.635911496854575</v>
      </c>
      <c r="T133" s="2"/>
      <c r="U133" s="169">
        <f t="shared" si="43"/>
        <v>3.5773431827100355E-2</v>
      </c>
      <c r="V133" s="3" t="str">
        <f t="shared" si="44"/>
        <v>Calves on forage</v>
      </c>
      <c r="Y133" s="27"/>
      <c r="AB133" s="302"/>
    </row>
    <row r="134" spans="1:36" x14ac:dyDescent="0.2">
      <c r="A134" s="49" t="s">
        <v>10</v>
      </c>
      <c r="B134" s="50">
        <f t="shared" si="34"/>
        <v>23.211158260541723</v>
      </c>
      <c r="C134" s="50">
        <v>0.32200000000000001</v>
      </c>
      <c r="D134" s="51">
        <f>IF(D10="Stall fed",0,IF(D10="Large Areas",0.37*B134,0.17*B134))</f>
        <v>3.9458969042920931</v>
      </c>
      <c r="E134" s="52">
        <f t="shared" si="35"/>
        <v>13.453987850544877</v>
      </c>
      <c r="F134" s="58"/>
      <c r="G134" s="73"/>
      <c r="H134" s="29">
        <v>0.8</v>
      </c>
      <c r="I134" s="56">
        <f t="shared" si="36"/>
        <v>0</v>
      </c>
      <c r="J134" s="14">
        <v>0</v>
      </c>
      <c r="K134" s="14"/>
      <c r="L134" s="56">
        <f t="shared" si="37"/>
        <v>0</v>
      </c>
      <c r="M134" s="56">
        <f t="shared" si="38"/>
        <v>0</v>
      </c>
      <c r="N134" s="17"/>
      <c r="O134" s="50">
        <f t="shared" si="39"/>
        <v>0.50290202064516132</v>
      </c>
      <c r="P134" s="50">
        <f t="shared" si="40"/>
        <v>0.29113371354838713</v>
      </c>
      <c r="Q134" s="75">
        <f t="shared" si="41"/>
        <v>161.63401432967314</v>
      </c>
      <c r="R134" s="135">
        <f t="shared" si="42"/>
        <v>0.17</v>
      </c>
      <c r="S134" s="75">
        <f>Q134*L10*365/A249</f>
        <v>66.788394600374374</v>
      </c>
      <c r="T134" s="2"/>
      <c r="U134" s="169">
        <f t="shared" si="43"/>
        <v>2.9202170610600386E-2</v>
      </c>
      <c r="V134" s="3" t="str">
        <f t="shared" si="44"/>
        <v>Growing heifers/steers</v>
      </c>
      <c r="Y134" s="27"/>
      <c r="AB134" s="302"/>
    </row>
    <row r="135" spans="1:36" x14ac:dyDescent="0.2">
      <c r="A135" s="49" t="s">
        <v>11</v>
      </c>
      <c r="B135" s="50">
        <f t="shared" si="34"/>
        <v>28.800555550197295</v>
      </c>
      <c r="C135" s="50">
        <v>0.32200000000000001</v>
      </c>
      <c r="D135" s="51">
        <f>IF(D11="Stall fed",0,IF(D11="Large Areas",0.37*B135,0.17*B135))</f>
        <v>4.8960944435335403</v>
      </c>
      <c r="E135" s="52">
        <f t="shared" si="35"/>
        <v>9.2096667892809947</v>
      </c>
      <c r="F135" s="58"/>
      <c r="G135" s="73"/>
      <c r="H135" s="29">
        <v>0.8</v>
      </c>
      <c r="I135" s="56">
        <f t="shared" si="36"/>
        <v>0</v>
      </c>
      <c r="J135" s="14">
        <v>0</v>
      </c>
      <c r="K135" s="14"/>
      <c r="L135" s="56">
        <f t="shared" si="37"/>
        <v>0</v>
      </c>
      <c r="M135" s="56">
        <f t="shared" si="38"/>
        <v>0</v>
      </c>
      <c r="N135" s="17"/>
      <c r="O135" s="50">
        <f t="shared" si="39"/>
        <v>0.50290202064516132</v>
      </c>
      <c r="P135" s="50">
        <f t="shared" si="40"/>
        <v>0.29113371354838713</v>
      </c>
      <c r="Q135" s="75">
        <f t="shared" si="41"/>
        <v>159.09388308809085</v>
      </c>
      <c r="R135" s="135">
        <f t="shared" si="42"/>
        <v>0.11</v>
      </c>
      <c r="S135" s="75">
        <f>Q135*L11*365/A249</f>
        <v>73.043103556167509</v>
      </c>
      <c r="T135" s="2"/>
      <c r="U135" s="169">
        <f t="shared" si="43"/>
        <v>2.155743673280364E-2</v>
      </c>
      <c r="V135" s="3" t="str">
        <f t="shared" si="44"/>
        <v>Replacement/growing</v>
      </c>
      <c r="Y135" s="27"/>
      <c r="AB135" s="302"/>
    </row>
    <row r="136" spans="1:36" x14ac:dyDescent="0.2">
      <c r="A136" s="49" t="s">
        <v>12</v>
      </c>
      <c r="B136" s="50">
        <f t="shared" si="34"/>
        <v>34.047354682786171</v>
      </c>
      <c r="C136" s="50">
        <v>0.32200000000000001</v>
      </c>
      <c r="D136" s="51">
        <f>IF(D12="Stall fed",0,IF(D12="Large Areas",0.37*B136,0.17*B136))</f>
        <v>0</v>
      </c>
      <c r="E136" s="52">
        <f t="shared" si="35"/>
        <v>27.105255532046854</v>
      </c>
      <c r="F136" s="58"/>
      <c r="G136" s="73"/>
      <c r="H136" s="29">
        <v>1</v>
      </c>
      <c r="I136" s="56">
        <f t="shared" si="36"/>
        <v>0</v>
      </c>
      <c r="J136" s="14">
        <v>0</v>
      </c>
      <c r="K136" s="14"/>
      <c r="L136" s="56">
        <f t="shared" si="37"/>
        <v>0</v>
      </c>
      <c r="M136" s="56">
        <f t="shared" si="38"/>
        <v>0</v>
      </c>
      <c r="N136" s="17"/>
      <c r="O136" s="50">
        <f t="shared" si="39"/>
        <v>0.54077083333333342</v>
      </c>
      <c r="P136" s="50">
        <f t="shared" si="40"/>
        <v>0.35190833333333332</v>
      </c>
      <c r="Q136" s="75">
        <f t="shared" si="41"/>
        <v>186.64587644620974</v>
      </c>
      <c r="R136" s="135">
        <f t="shared" si="42"/>
        <v>0.11</v>
      </c>
      <c r="S136" s="75">
        <f>Q136*L12*365/A249</f>
        <v>36.72546895033237</v>
      </c>
      <c r="T136" s="2"/>
      <c r="U136" s="169">
        <f t="shared" si="43"/>
        <v>2.0232615332922466E-2</v>
      </c>
      <c r="V136" s="3" t="str">
        <f t="shared" si="44"/>
        <v>Feedlot cattle</v>
      </c>
      <c r="Y136" s="27"/>
      <c r="AB136" s="302"/>
    </row>
    <row r="137" spans="1:36" x14ac:dyDescent="0.2">
      <c r="A137" s="76" t="s">
        <v>14</v>
      </c>
      <c r="B137" s="136"/>
      <c r="C137" s="137"/>
      <c r="D137" s="138"/>
      <c r="E137" s="139"/>
      <c r="F137" s="89"/>
      <c r="G137" s="140"/>
      <c r="H137" s="141"/>
      <c r="I137" s="130">
        <f t="shared" si="36"/>
        <v>0</v>
      </c>
      <c r="J137" s="89"/>
      <c r="K137" s="89"/>
      <c r="L137" s="142"/>
      <c r="M137" s="142"/>
      <c r="N137" s="131"/>
      <c r="O137" s="143"/>
      <c r="P137" s="136"/>
      <c r="Q137" s="103">
        <f>SUMPRODUCT(Q138:Q141,M14:M17)</f>
        <v>128.3406970472976</v>
      </c>
      <c r="R137" s="187"/>
      <c r="S137" s="103">
        <f>SUMPRODUCT(S138:S141,M14:M17)</f>
        <v>51.837722949197783</v>
      </c>
      <c r="T137" s="2"/>
      <c r="U137" s="170"/>
      <c r="V137" s="1" t="str">
        <f t="shared" si="44"/>
        <v>Western Europe</v>
      </c>
      <c r="Z137" s="8"/>
      <c r="AB137" s="302"/>
      <c r="AC137" s="8"/>
    </row>
    <row r="138" spans="1:36" x14ac:dyDescent="0.2">
      <c r="A138" s="49" t="s">
        <v>7</v>
      </c>
      <c r="B138" s="50">
        <f>C138*B14^0.75</f>
        <v>44.855444203821015</v>
      </c>
      <c r="C138" s="50">
        <v>0.37</v>
      </c>
      <c r="D138" s="51">
        <f>IF(D14="Stall fed",0,IF(D14="Large Areas",0.37*B138,0.17*B138))</f>
        <v>7.6254255146495735</v>
      </c>
      <c r="E138" s="52">
        <f>22.02*(B14/(H138*R14))^0.75*C14^1.097</f>
        <v>0</v>
      </c>
      <c r="F138" s="58"/>
      <c r="G138" s="73"/>
      <c r="H138" s="29">
        <v>1.2</v>
      </c>
      <c r="I138" s="56">
        <f t="shared" si="36"/>
        <v>0</v>
      </c>
      <c r="J138" s="14">
        <v>0</v>
      </c>
      <c r="K138" s="14"/>
      <c r="L138" s="56">
        <f>0.1*B138*H14</f>
        <v>0</v>
      </c>
      <c r="M138" s="56">
        <f>0.1*B138*N138</f>
        <v>0</v>
      </c>
      <c r="N138" s="17"/>
      <c r="O138" s="50">
        <f>1.123-(4.092*10^-3*J14)+(1.126*10^-5*J14^2)-(25.4/J14)</f>
        <v>0.49468266666666677</v>
      </c>
      <c r="P138" s="50">
        <f>1.164-(5.16*10^-3*J14)+(1.308*10^-5*J14^2)-37.4/J14</f>
        <v>0.27815466666666655</v>
      </c>
      <c r="Q138" s="75">
        <f>((B138+D138+I138+L138+M138)/O138+(E138/P138))/(J14/100)</f>
        <v>176.816618190485</v>
      </c>
      <c r="R138" s="135">
        <f>M14</f>
        <v>0.22</v>
      </c>
      <c r="S138" s="75">
        <f>Q138*L14*365/A249</f>
        <v>81.17995677927928</v>
      </c>
      <c r="T138" s="2"/>
      <c r="U138" s="169">
        <f>Q138/$A$253/B14</f>
        <v>1.5972594235816172E-2</v>
      </c>
      <c r="V138" s="3" t="str">
        <f t="shared" si="44"/>
        <v>Mature Males</v>
      </c>
      <c r="Y138" s="27"/>
      <c r="AB138" s="302"/>
    </row>
    <row r="139" spans="1:36" x14ac:dyDescent="0.2">
      <c r="A139" s="49" t="s">
        <v>11</v>
      </c>
      <c r="B139" s="50">
        <f>C139*B15^0.75</f>
        <v>28.800555550197295</v>
      </c>
      <c r="C139" s="50">
        <v>0.32200000000000001</v>
      </c>
      <c r="D139" s="51">
        <f>IF(D15="Stall fed",0,IF(D15="Large Areas",0.37*B139,0.17*B139))</f>
        <v>4.8960944435335403</v>
      </c>
      <c r="E139" s="52">
        <f>22.02*(B15/(H139*R15))^0.75*C15^1.097</f>
        <v>7.5029596565656274</v>
      </c>
      <c r="F139" s="58"/>
      <c r="G139" s="73"/>
      <c r="H139" s="29">
        <v>0.8</v>
      </c>
      <c r="I139" s="56">
        <f t="shared" si="36"/>
        <v>0</v>
      </c>
      <c r="J139" s="14">
        <v>0</v>
      </c>
      <c r="K139" s="14"/>
      <c r="L139" s="56">
        <f>0.1*B139*H15</f>
        <v>0</v>
      </c>
      <c r="M139" s="56">
        <f>0.1*B139*N139</f>
        <v>0</v>
      </c>
      <c r="N139" s="17"/>
      <c r="O139" s="50">
        <f>1.123-(4.092*10^-3*J15)+(1.126*10^-5*J15^2)-(25.4/J15)</f>
        <v>0.51382426923076929</v>
      </c>
      <c r="P139" s="50">
        <f>1.164-(5.16*10^-3*J15)+(1.308*10^-5*J15^2)-37.4/J15</f>
        <v>0.30847838461538446</v>
      </c>
      <c r="Q139" s="75">
        <f>((B139+D139+I139+L139+M139)/O139+(E139/P139))/(J15/100)</f>
        <v>138.31167220372203</v>
      </c>
      <c r="R139" s="135">
        <f>M15</f>
        <v>0.55000000000000004</v>
      </c>
      <c r="S139" s="75">
        <f>Q139*L15*365/A249</f>
        <v>57.151426816254954</v>
      </c>
      <c r="T139" s="2"/>
      <c r="U139" s="169">
        <f>Q139/$A$253/B15</f>
        <v>1.8741418997794312E-2</v>
      </c>
      <c r="V139" s="3" t="str">
        <f t="shared" si="44"/>
        <v>Replacement/growing</v>
      </c>
      <c r="Y139" s="27"/>
      <c r="AB139" s="302"/>
    </row>
    <row r="140" spans="1:36" x14ac:dyDescent="0.2">
      <c r="A140" s="49" t="s">
        <v>8</v>
      </c>
      <c r="B140" s="50">
        <f>C140*B16^0.75</f>
        <v>19.017426599539665</v>
      </c>
      <c r="C140" s="50">
        <v>0.32200000000000001</v>
      </c>
      <c r="D140" s="51">
        <f>IF(D16="Stall fed",0,IF(D16="Large Areas",0.37*B140,0.17*B140))</f>
        <v>0</v>
      </c>
      <c r="E140" s="52">
        <f>22.02*(B16/(H140*R16))^0.75*C16^1.097</f>
        <v>4.8645920394726465</v>
      </c>
      <c r="F140" s="58"/>
      <c r="G140" s="73"/>
      <c r="H140" s="29">
        <v>0.8</v>
      </c>
      <c r="I140" s="56">
        <f t="shared" si="36"/>
        <v>0</v>
      </c>
      <c r="J140" s="14">
        <v>0</v>
      </c>
      <c r="K140" s="14"/>
      <c r="L140" s="56">
        <f>0.1*B140*H16</f>
        <v>0</v>
      </c>
      <c r="M140" s="56">
        <f>0.1*B140*N140</f>
        <v>0</v>
      </c>
      <c r="N140" s="17"/>
      <c r="O140" s="50">
        <f>1.123-(4.092*10^-3*J16)+(1.126*10^-5*J16^2)-(25.4/J16)</f>
        <v>0.56851307894736836</v>
      </c>
      <c r="P140" s="50">
        <f>1.164-(5.16*10^-3*J16)+(1.308*10^-5*J16^2)-37.4/J16</f>
        <v>0.39816278947368422</v>
      </c>
      <c r="Q140" s="75">
        <f>((B140+D140+I140+L140+M140)/O140+(E140/P140))/(J16/100)</f>
        <v>48.07238314550235</v>
      </c>
      <c r="R140" s="135">
        <f>M16</f>
        <v>0.15</v>
      </c>
      <c r="S140" s="75">
        <f>Q140*L16*365/A249</f>
        <v>0</v>
      </c>
      <c r="T140" s="2"/>
      <c r="U140" s="169">
        <f>Q140/$A$253/B16</f>
        <v>1.132847487816716E-2</v>
      </c>
      <c r="V140" s="3" t="str">
        <f t="shared" si="44"/>
        <v>Calves on milk</v>
      </c>
      <c r="Y140" s="27"/>
      <c r="AB140" s="302"/>
    </row>
    <row r="141" spans="1:36" x14ac:dyDescent="0.2">
      <c r="A141" s="49" t="s">
        <v>9</v>
      </c>
      <c r="B141" s="50">
        <f>C141*B17^0.75</f>
        <v>19.017426599539665</v>
      </c>
      <c r="C141" s="50">
        <v>0.32200000000000001</v>
      </c>
      <c r="D141" s="53">
        <f>IF(D17="Stall fed",0,IF(D17="Large Areas",0.36*B141,0.17*B141))</f>
        <v>3.2329625219217433</v>
      </c>
      <c r="E141" s="54">
        <f>22.02*(B17/(H141*R17))^0.75*C17^1.097</f>
        <v>5.0716197518552333</v>
      </c>
      <c r="F141" s="58"/>
      <c r="G141" s="74"/>
      <c r="H141" s="29">
        <v>0.8</v>
      </c>
      <c r="I141" s="56">
        <f t="shared" si="36"/>
        <v>0</v>
      </c>
      <c r="J141" s="14">
        <v>0</v>
      </c>
      <c r="K141" s="14"/>
      <c r="L141" s="56">
        <f>0.1*B141*H17</f>
        <v>0</v>
      </c>
      <c r="M141" s="56">
        <f>0.1*B141*N141</f>
        <v>0</v>
      </c>
      <c r="N141" s="17"/>
      <c r="O141" s="50">
        <f>1.123-(4.092*10^-3*J17)+(1.126*10^-5*J17^2)-(25.4/J17)</f>
        <v>0.53634333452054794</v>
      </c>
      <c r="P141" s="50">
        <f>1.164-(5.16*10^-3*J17)+(1.308*10^-5*J17^2)-37.4/J17</f>
        <v>0.34469455287671225</v>
      </c>
      <c r="Q141" s="75">
        <f>((B141+D141+I141+L141+M141)/O141+(E141/P141))/(J17/100)</f>
        <v>76.984548268980589</v>
      </c>
      <c r="R141" s="135">
        <f>M17</f>
        <v>0.08</v>
      </c>
      <c r="S141" s="75">
        <f>Q141*L17*365/A249</f>
        <v>31.810596360201412</v>
      </c>
      <c r="T141" s="2"/>
      <c r="U141" s="169">
        <f>Q141/$A$253/B17</f>
        <v>1.8141757574874653E-2</v>
      </c>
      <c r="V141" s="3" t="str">
        <f t="shared" si="44"/>
        <v>Calves on forage</v>
      </c>
      <c r="Y141" s="27"/>
      <c r="AB141" s="302"/>
    </row>
    <row r="142" spans="1:36" x14ac:dyDescent="0.2">
      <c r="A142" s="90" t="s">
        <v>48</v>
      </c>
      <c r="B142" s="144"/>
      <c r="C142" s="145"/>
      <c r="D142" s="146"/>
      <c r="E142" s="139"/>
      <c r="F142" s="89"/>
      <c r="G142" s="140"/>
      <c r="H142" s="141"/>
      <c r="I142" s="130">
        <f t="shared" si="36"/>
        <v>0</v>
      </c>
      <c r="J142" s="91"/>
      <c r="K142" s="91"/>
      <c r="L142" s="147"/>
      <c r="M142" s="147"/>
      <c r="N142" s="131"/>
      <c r="O142" s="148"/>
      <c r="P142" s="144"/>
      <c r="Q142" s="103">
        <f>SUMPRODUCT(Q143:Q145,M19:M21)</f>
        <v>112.60995460545865</v>
      </c>
      <c r="R142" s="187"/>
      <c r="S142" s="183">
        <f>SUMPRODUCT(S143:S146,M19:M22)</f>
        <v>58.147872951042025</v>
      </c>
      <c r="T142" s="2"/>
      <c r="U142" s="170"/>
      <c r="V142" s="1" t="str">
        <f t="shared" si="44"/>
        <v>Eastern Europe</v>
      </c>
      <c r="Z142" s="8"/>
      <c r="AB142" s="302"/>
      <c r="AC142" s="8"/>
    </row>
    <row r="143" spans="1:36" x14ac:dyDescent="0.2">
      <c r="A143" s="49" t="s">
        <v>5</v>
      </c>
      <c r="B143" s="50">
        <f>C143*B19^0.75</f>
        <v>40.814530768805788</v>
      </c>
      <c r="C143" s="50">
        <v>0.38600000000000001</v>
      </c>
      <c r="D143" s="51">
        <f>IF(D19="Stall fed",0,IF(D19="Large Areas",0.37*B143,0.17*B143))</f>
        <v>6.9384702306969848</v>
      </c>
      <c r="E143" s="52">
        <f>22.02*(B19/(H143*R19))^0.75*C19^1.097</f>
        <v>0</v>
      </c>
      <c r="F143" s="29">
        <f>F19</f>
        <v>4.2</v>
      </c>
      <c r="G143" s="73">
        <f>G19</f>
        <v>3.6999999999999998E-2</v>
      </c>
      <c r="H143" s="29">
        <v>0.8</v>
      </c>
      <c r="I143" s="56">
        <f t="shared" si="36"/>
        <v>9.4500000000000011</v>
      </c>
      <c r="J143" s="16">
        <f>E19</f>
        <v>3</v>
      </c>
      <c r="K143" s="14"/>
      <c r="L143" s="56">
        <f>0.1*B143*H19</f>
        <v>0</v>
      </c>
      <c r="M143" s="56">
        <f>0.1*B143*N143</f>
        <v>3.2651624615044632</v>
      </c>
      <c r="N143" s="17">
        <f>I19</f>
        <v>0.8</v>
      </c>
      <c r="O143" s="50">
        <f>1.123-(4.092*10^-3*J19)+(1.126*10^-5*J19^2)-(25.4/J19)</f>
        <v>0.52887685714285726</v>
      </c>
      <c r="P143" s="50">
        <f>1.164-(5.16*10^-3*J19)+(1.308*10^-5*J19^2)-37.4/J19</f>
        <v>0.33260628571428574</v>
      </c>
      <c r="Q143" s="75">
        <f>((B143+D143+I143+L143+M143)/O143+(E143/P143))/(J19/100)</f>
        <v>163.33308877466811</v>
      </c>
      <c r="R143" s="135">
        <f>M19</f>
        <v>0.39</v>
      </c>
      <c r="S143" s="75">
        <f>Q143*L19*365/A249</f>
        <v>67.490464984249655</v>
      </c>
      <c r="T143" s="2"/>
      <c r="U143" s="169">
        <f>Q143/$A$253/B19</f>
        <v>1.7705483878012802E-2</v>
      </c>
      <c r="V143" s="3" t="str">
        <f t="shared" si="44"/>
        <v>Mature Females</v>
      </c>
      <c r="Y143" s="27"/>
      <c r="AB143" s="302"/>
    </row>
    <row r="144" spans="1:36" x14ac:dyDescent="0.2">
      <c r="A144" s="49" t="s">
        <v>7</v>
      </c>
      <c r="B144" s="50">
        <f>C144*B20^0.75</f>
        <v>44.855444203821015</v>
      </c>
      <c r="C144" s="50">
        <v>0.37</v>
      </c>
      <c r="D144" s="51">
        <f>IF(D20="Stall fed",0,IF(D20="Large Areas",0.37*B144,0.17*B144))</f>
        <v>7.6254255146495735</v>
      </c>
      <c r="E144" s="52">
        <f>22.02*(B20/(H144*R20))^0.75*C20^1.097</f>
        <v>0</v>
      </c>
      <c r="F144" s="58"/>
      <c r="G144" s="73"/>
      <c r="H144" s="29">
        <v>1.2</v>
      </c>
      <c r="I144" s="56">
        <f t="shared" si="36"/>
        <v>0</v>
      </c>
      <c r="J144" s="14">
        <v>0</v>
      </c>
      <c r="K144" s="14"/>
      <c r="L144" s="56">
        <f>0.1*B144*H20</f>
        <v>0</v>
      </c>
      <c r="M144" s="56">
        <f>0.1*B144*N144</f>
        <v>0</v>
      </c>
      <c r="N144" s="17"/>
      <c r="O144" s="50">
        <f>1.123-(4.092*10^-3*J20)+(1.126*10^-5*J20^2)-(25.4/J20)</f>
        <v>0.51382426923076929</v>
      </c>
      <c r="P144" s="50">
        <f>1.164-(5.16*10^-3*J20)+(1.308*10^-5*J20^2)-37.4/J20</f>
        <v>0.30847838461538446</v>
      </c>
      <c r="Q144" s="75">
        <f>((B144+D144+I144+L144+M144)/O144+(E144/P144))/(J20/100)</f>
        <v>157.13504480384105</v>
      </c>
      <c r="R144" s="135">
        <f>M20</f>
        <v>0.09</v>
      </c>
      <c r="S144" s="75">
        <f>Q144*L20*365/A249</f>
        <v>64.929386437813562</v>
      </c>
      <c r="T144" s="2"/>
      <c r="U144" s="169">
        <f>Q144/$A$253/B20</f>
        <v>1.4194674327356915E-2</v>
      </c>
      <c r="V144" s="3" t="str">
        <f t="shared" si="44"/>
        <v>Mature Males</v>
      </c>
      <c r="Y144" s="27"/>
      <c r="AB144" s="302"/>
    </row>
    <row r="145" spans="1:29" x14ac:dyDescent="0.2">
      <c r="A145" s="49" t="str">
        <f>A21</f>
        <v>Replacement/growing</v>
      </c>
      <c r="B145" s="50">
        <f>C145*B21^0.75</f>
        <v>26.055949567382328</v>
      </c>
      <c r="C145" s="50">
        <v>0.32200000000000001</v>
      </c>
      <c r="D145" s="51">
        <f>IF(D21="Stall fed",0,IF(D21="Large Areas",0.37*B145,0.17*B145))</f>
        <v>4.4295114264549964</v>
      </c>
      <c r="E145" s="52">
        <f>22.02*(B21/(H145*R21))^0.75*C21^1.097</f>
        <v>7.5176091095600635</v>
      </c>
      <c r="F145" s="58"/>
      <c r="G145" s="73"/>
      <c r="H145" s="29">
        <v>0.8</v>
      </c>
      <c r="I145" s="56">
        <f t="shared" si="36"/>
        <v>0</v>
      </c>
      <c r="J145" s="14">
        <v>0</v>
      </c>
      <c r="K145" s="14"/>
      <c r="L145" s="56">
        <f>0.1*B145*H21</f>
        <v>0</v>
      </c>
      <c r="M145" s="56">
        <f>0.1*B145*N145</f>
        <v>0</v>
      </c>
      <c r="N145" s="17"/>
      <c r="O145" s="50">
        <f>1.123-(4.092*10^-3*J21)+(1.126*10^-5*J21^2)-(25.4/J21)</f>
        <v>0.51382426923076929</v>
      </c>
      <c r="P145" s="50">
        <f>1.164-(5.16*10^-3*J21)+(1.308*10^-5*J21^2)-37.4/J21</f>
        <v>0.30847838461538446</v>
      </c>
      <c r="Q145" s="75">
        <f>((B145+D145+I145+L145+M145)/O145+(E145/P145))/(J21/100)</f>
        <v>128.76998500367554</v>
      </c>
      <c r="R145" s="135">
        <f>M21</f>
        <v>0.27</v>
      </c>
      <c r="S145" s="75">
        <f>Q145*L21*365/A249</f>
        <v>53.208729652462161</v>
      </c>
      <c r="T145" s="2"/>
      <c r="U145" s="169">
        <f>Q145/$A$253/B21</f>
        <v>1.9941151374940076E-2</v>
      </c>
      <c r="V145" s="3" t="str">
        <f t="shared" si="44"/>
        <v>Replacement/growing</v>
      </c>
      <c r="Y145" s="27"/>
      <c r="AB145" s="302"/>
    </row>
    <row r="146" spans="1:29" x14ac:dyDescent="0.2">
      <c r="A146" s="49" t="str">
        <f>A22</f>
        <v>Calves on forage</v>
      </c>
      <c r="B146" s="50">
        <f>C146*B22^0.75</f>
        <v>15.823780520261751</v>
      </c>
      <c r="C146" s="50">
        <v>0.32200000000000001</v>
      </c>
      <c r="D146" s="51">
        <f>IF(D22="Stall fed",0,IF(D22="Large Areas",0.37*B146,0.17*B146))</f>
        <v>2.6900426884444979</v>
      </c>
      <c r="E146" s="52">
        <f>22.02*(B22/(H146*R22))^0.75*C22^1.097</f>
        <v>11.433107036726055</v>
      </c>
      <c r="F146" s="58"/>
      <c r="G146" s="73"/>
      <c r="H146" s="29">
        <v>0.8</v>
      </c>
      <c r="I146" s="56">
        <f t="shared" si="36"/>
        <v>0</v>
      </c>
      <c r="J146" s="14">
        <v>0</v>
      </c>
      <c r="K146" s="14"/>
      <c r="L146" s="56">
        <f>0.1*B146*H22</f>
        <v>0</v>
      </c>
      <c r="M146" s="56">
        <f>0.1*B146*N146</f>
        <v>0</v>
      </c>
      <c r="N146" s="17"/>
      <c r="O146" s="50">
        <f>1.123-(4.092*10^-3*J22)+(1.126*10^-5*J22^2)-(25.4/J22)</f>
        <v>0.51382426923076929</v>
      </c>
      <c r="P146" s="50">
        <f>1.164-(5.16*10^-3*J22)+(1.308*10^-5*J22^2)-37.4/J22</f>
        <v>0.30847838461538446</v>
      </c>
      <c r="Q146" s="75">
        <f>((B146+D146+I146+L146+M146)/O146+(E146/P146))/(J22/100)</f>
        <v>112.45283297638042</v>
      </c>
      <c r="R146" s="135">
        <f>M22</f>
        <v>0.25</v>
      </c>
      <c r="S146" s="75">
        <f>Q146*L22*365/A249</f>
        <v>46.466359286466627</v>
      </c>
      <c r="T146" s="2"/>
      <c r="U146" s="169">
        <f>Q146/$A$253/B22</f>
        <v>3.3861136096471067E-2</v>
      </c>
      <c r="V146" s="3" t="str">
        <f t="shared" si="44"/>
        <v>Calves on forage</v>
      </c>
      <c r="Y146" s="27"/>
      <c r="AB146" s="302"/>
    </row>
    <row r="147" spans="1:29" x14ac:dyDescent="0.2">
      <c r="A147" s="76" t="s">
        <v>49</v>
      </c>
      <c r="B147" s="136"/>
      <c r="C147" s="137"/>
      <c r="D147" s="138"/>
      <c r="E147" s="139"/>
      <c r="F147" s="89"/>
      <c r="G147" s="140"/>
      <c r="H147" s="141"/>
      <c r="I147" s="130">
        <f t="shared" si="36"/>
        <v>0</v>
      </c>
      <c r="J147" s="89"/>
      <c r="K147" s="89"/>
      <c r="L147" s="142"/>
      <c r="M147" s="142"/>
      <c r="N147" s="131"/>
      <c r="O147" s="143"/>
      <c r="P147" s="136"/>
      <c r="Q147" s="103">
        <f>SUMPRODUCT(Q148:Q150,M24:M26)</f>
        <v>137.2723217044047</v>
      </c>
      <c r="R147" s="187"/>
      <c r="S147" s="183">
        <f>SUMPRODUCT(S148:S150,M24:M26)</f>
        <v>63.024399273091483</v>
      </c>
      <c r="T147" s="2"/>
      <c r="U147" s="170"/>
      <c r="V147" s="1" t="str">
        <f t="shared" si="44"/>
        <v>Oceania</v>
      </c>
      <c r="Z147" s="8"/>
      <c r="AB147" s="302"/>
      <c r="AC147" s="8"/>
    </row>
    <row r="148" spans="1:29" x14ac:dyDescent="0.2">
      <c r="A148" s="49" t="s">
        <v>5</v>
      </c>
      <c r="B148" s="50">
        <f>C148*B24^0.75</f>
        <v>35.555541945641288</v>
      </c>
      <c r="C148" s="50">
        <v>0.38600000000000001</v>
      </c>
      <c r="D148" s="51">
        <f>IF(D24="Stall fed",0,IF(D24="Large Areas",0.37*B148,0.17*B148))</f>
        <v>6.0444421307590197</v>
      </c>
      <c r="E148" s="52">
        <f>22.02*(B24/(H148*R24))^0.75*C24^1.097</f>
        <v>0</v>
      </c>
      <c r="F148" s="29">
        <f>F24</f>
        <v>4.8</v>
      </c>
      <c r="G148" s="73">
        <f>G24</f>
        <v>3.6999999999999998E-2</v>
      </c>
      <c r="H148" s="29">
        <v>0.8</v>
      </c>
      <c r="I148" s="56">
        <f t="shared" si="36"/>
        <v>5.762999999999999</v>
      </c>
      <c r="J148" s="14">
        <f>E24</f>
        <v>1.7</v>
      </c>
      <c r="K148" s="14"/>
      <c r="L148" s="56">
        <f t="shared" ref="L148:L158" si="45">0.1*B148*H24</f>
        <v>0</v>
      </c>
      <c r="M148" s="56">
        <f>0.1*B148*N148</f>
        <v>2.8799988975969448</v>
      </c>
      <c r="N148" s="17">
        <f>I24</f>
        <v>0.81</v>
      </c>
      <c r="O148" s="50">
        <f>1.123-(4.092*10^-3*J24)+(1.126*10^-5*J24^2)-(25.4/J24)</f>
        <v>0.49889301737704922</v>
      </c>
      <c r="P148" s="50">
        <f>1.164-(5.16*10^-3*J24)+(1.308*10^-5*J24^2)-37.4/J24</f>
        <v>0.28479592590163927</v>
      </c>
      <c r="Q148" s="75">
        <f>((B148+D148+I148+L148+M148)/O148+(E148/P148))/(J24/100)</f>
        <v>165.09660987450209</v>
      </c>
      <c r="R148" s="135">
        <f>M24</f>
        <v>0.45</v>
      </c>
      <c r="S148" s="75">
        <f>Q148*L24*365/A249</f>
        <v>75.79907245810476</v>
      </c>
      <c r="T148" s="2"/>
      <c r="U148" s="169">
        <f>Q148/$A$253/B24</f>
        <v>2.1510398409748555E-2</v>
      </c>
      <c r="V148" s="3" t="str">
        <f t="shared" si="44"/>
        <v>Mature Females</v>
      </c>
      <c r="Y148" s="27"/>
      <c r="AB148" s="302"/>
    </row>
    <row r="149" spans="1:29" x14ac:dyDescent="0.2">
      <c r="A149" s="49" t="s">
        <v>7</v>
      </c>
      <c r="B149" s="50">
        <f>C149*B25^0.75</f>
        <v>37.169728124695965</v>
      </c>
      <c r="C149" s="50">
        <v>0.37</v>
      </c>
      <c r="D149" s="51">
        <f>IF(D25="Stall fed",0,IF(D25="Large Areas",0.37*B149,0.17*B149))</f>
        <v>6.3188537811983148</v>
      </c>
      <c r="E149" s="52">
        <f>22.02*(B25/(H149*R25))^0.75*C25^1.097</f>
        <v>0</v>
      </c>
      <c r="F149" s="58"/>
      <c r="G149" s="73"/>
      <c r="H149" s="29">
        <v>1.2</v>
      </c>
      <c r="I149" s="56">
        <f t="shared" si="36"/>
        <v>0</v>
      </c>
      <c r="J149" s="14">
        <v>0</v>
      </c>
      <c r="K149" s="14"/>
      <c r="L149" s="56">
        <f t="shared" si="45"/>
        <v>0</v>
      </c>
      <c r="M149" s="56">
        <f>0.1*B149*N149</f>
        <v>0</v>
      </c>
      <c r="N149" s="17"/>
      <c r="O149" s="50">
        <f>1.123-(4.092*10^-3*J25)+(1.126*10^-5*J25^2)-(25.4/J25)</f>
        <v>0.50290202064516132</v>
      </c>
      <c r="P149" s="50">
        <f>1.164-(5.16*10^-3*J25)+(1.308*10^-5*J25^2)-37.4/J25</f>
        <v>0.29113371354838713</v>
      </c>
      <c r="Q149" s="75">
        <f>((B149+D149+I149+L149+M149)/O149+(E149/P149))/(J25/100)</f>
        <v>139.47622233010776</v>
      </c>
      <c r="R149" s="135">
        <f>M25</f>
        <v>0.25</v>
      </c>
      <c r="S149" s="75">
        <f>Q149*L25*365/A249</f>
        <v>64.036253019483439</v>
      </c>
      <c r="T149" s="2"/>
      <c r="U149" s="169">
        <f>Q149/$A$253/B25</f>
        <v>1.6187766268009236E-2</v>
      </c>
      <c r="V149" s="3" t="str">
        <f t="shared" si="44"/>
        <v>Mature Males</v>
      </c>
      <c r="Y149" s="27"/>
      <c r="AB149" s="302"/>
    </row>
    <row r="150" spans="1:29" x14ac:dyDescent="0.2">
      <c r="A150" s="49" t="s">
        <v>15</v>
      </c>
      <c r="B150" s="50">
        <f>C150*B26^0.75</f>
        <v>16.152310999424479</v>
      </c>
      <c r="C150" s="50">
        <v>0.32200000000000001</v>
      </c>
      <c r="D150" s="51">
        <f>IF(D26="Stall fed",0,IF(D26="Large Areas",0.37*B150,0.17*B150))</f>
        <v>2.7458928699021619</v>
      </c>
      <c r="E150" s="52">
        <f>22.02*(B26/(H150*R26))^0.75*C26^1.097</f>
        <v>5.489812579442475</v>
      </c>
      <c r="F150" s="58"/>
      <c r="G150" s="73"/>
      <c r="H150" s="29">
        <v>0.8</v>
      </c>
      <c r="I150" s="56">
        <f t="shared" si="36"/>
        <v>0</v>
      </c>
      <c r="J150" s="14">
        <v>0</v>
      </c>
      <c r="K150" s="14"/>
      <c r="L150" s="56">
        <f t="shared" si="45"/>
        <v>0</v>
      </c>
      <c r="M150" s="56">
        <f>0.1*B150*N150</f>
        <v>0</v>
      </c>
      <c r="N150" s="17"/>
      <c r="O150" s="50">
        <f>1.123-(4.092*10^-3*J26)+(1.126*10^-5*J26^2)-(25.4/J26)</f>
        <v>0.49889301737704922</v>
      </c>
      <c r="P150" s="50">
        <f>1.164-(5.16*10^-3*J26)+(1.308*10^-5*J26^2)-37.4/J26</f>
        <v>0.28479592590163927</v>
      </c>
      <c r="Q150" s="75">
        <f>((B150+D150+I150+L150+M150)/O150+(E150/P150))/(J26/100)</f>
        <v>93.699305594506072</v>
      </c>
      <c r="R150" s="135">
        <f>M26</f>
        <v>0.3</v>
      </c>
      <c r="S150" s="75">
        <f>Q150*L26*365/A249</f>
        <v>43.019178040244931</v>
      </c>
      <c r="T150" s="2"/>
      <c r="U150" s="169">
        <f>Q150/$A$253/B26</f>
        <v>2.7451638641911986E-2</v>
      </c>
      <c r="V150" s="3" t="str">
        <f t="shared" si="44"/>
        <v>Young</v>
      </c>
      <c r="Y150" s="27"/>
      <c r="AB150" s="302"/>
    </row>
    <row r="151" spans="1:29" x14ac:dyDescent="0.2">
      <c r="A151" s="76" t="s">
        <v>50</v>
      </c>
      <c r="B151" s="145"/>
      <c r="C151" s="145"/>
      <c r="D151" s="177"/>
      <c r="E151" s="178"/>
      <c r="F151" s="77"/>
      <c r="G151" s="184"/>
      <c r="H151" s="181"/>
      <c r="I151" s="130">
        <f t="shared" si="36"/>
        <v>0</v>
      </c>
      <c r="J151" s="98"/>
      <c r="K151" s="98"/>
      <c r="L151" s="130">
        <f t="shared" si="45"/>
        <v>0</v>
      </c>
      <c r="M151" s="185"/>
      <c r="N151" s="131"/>
      <c r="O151" s="186"/>
      <c r="P151" s="145"/>
      <c r="Q151" s="103">
        <f>SUMPRODUCT(Q152:Q158,R152:R158)</f>
        <v>125.28769831698322</v>
      </c>
      <c r="R151" s="187"/>
      <c r="S151" s="183">
        <f>SUMPRODUCT(S152:S158,R152:R158)</f>
        <v>55.994077898973579</v>
      </c>
      <c r="T151" s="2"/>
      <c r="U151" s="170"/>
      <c r="V151" s="1" t="str">
        <f t="shared" si="44"/>
        <v>Latin America</v>
      </c>
      <c r="Z151" s="8"/>
      <c r="AB151" s="302"/>
      <c r="AC151" s="8"/>
    </row>
    <row r="152" spans="1:29" x14ac:dyDescent="0.2">
      <c r="A152" s="49" t="str">
        <f t="shared" ref="A152:A173" si="46">A28</f>
        <v xml:space="preserve"> Mature Females</v>
      </c>
      <c r="B152" s="50">
        <f t="shared" ref="B152:B158" si="47">C152*B28^0.75</f>
        <v>36.749270602163747</v>
      </c>
      <c r="C152" s="50">
        <v>0.38600000000000001</v>
      </c>
      <c r="D152" s="51">
        <f t="shared" ref="D152:D158" si="48">IF(D28="Stall fed",0,IF(D28="Large Areas",0.37*B152,0.17*B152))</f>
        <v>6.2473760023678375</v>
      </c>
      <c r="E152" s="52">
        <f t="shared" ref="E152:E158" si="49">22.02*(B28/(H152*R28))^0.75*C28^1.097</f>
        <v>0</v>
      </c>
      <c r="F152" s="29">
        <f>F28</f>
        <v>4.2789634146341458</v>
      </c>
      <c r="G152" s="73">
        <f>G28</f>
        <v>3.5000000000000003E-2</v>
      </c>
      <c r="H152" s="29">
        <v>0.8</v>
      </c>
      <c r="I152" s="56">
        <f t="shared" si="36"/>
        <v>6.3292208878643663</v>
      </c>
      <c r="J152" s="16">
        <f t="shared" ref="J152:J158" si="50">E28</f>
        <v>1.9893292682926829</v>
      </c>
      <c r="K152" s="14"/>
      <c r="L152" s="56">
        <f t="shared" si="45"/>
        <v>0</v>
      </c>
      <c r="M152" s="56">
        <f t="shared" ref="M152:M158" si="51">0.1*B152*N152</f>
        <v>2.3150920074771628</v>
      </c>
      <c r="N152" s="17">
        <f>I28</f>
        <v>0.62996951219512187</v>
      </c>
      <c r="O152" s="50">
        <f t="shared" ref="O152:O158" si="52">1.123-(4.092*10^-3*J28)+(1.126*10^-5*J28^2)-(25.4/J28)</f>
        <v>0.49214720083087465</v>
      </c>
      <c r="P152" s="50">
        <f t="shared" ref="P152:P158" si="53">1.164-(5.16*10^-3*J28)+(1.308*10^-5*J28^2)-37.4/J28</f>
        <v>0.27416224007252987</v>
      </c>
      <c r="Q152" s="75">
        <f t="shared" ref="Q152:Q158" si="54">((B152+D152+I152+L152+M152)/O152+(E152/P152))/(J28/100)</f>
        <v>176.58804080907382</v>
      </c>
      <c r="R152" s="135">
        <f t="shared" ref="R152:R158" si="55">M28</f>
        <v>0.36080000000000001</v>
      </c>
      <c r="S152" s="75">
        <f t="shared" ref="S152:S158" si="56">Q152*L28*365/$A$249</f>
        <v>81.075012446933272</v>
      </c>
      <c r="T152" s="2"/>
      <c r="U152" s="169">
        <f t="shared" ref="U152:U158" si="57">Q152/$A$253/B28</f>
        <v>2.2016571622952997E-2</v>
      </c>
      <c r="V152" s="3" t="str">
        <f t="shared" si="44"/>
        <v xml:space="preserve"> Mature Females</v>
      </c>
      <c r="Y152" s="27"/>
      <c r="AB152" s="302"/>
    </row>
    <row r="153" spans="1:29" x14ac:dyDescent="0.2">
      <c r="A153" s="49" t="str">
        <f t="shared" si="46"/>
        <v xml:space="preserve"> Mature Males</v>
      </c>
      <c r="B153" s="50">
        <f t="shared" si="47"/>
        <v>43.83949110289246</v>
      </c>
      <c r="C153" s="50">
        <v>0.37</v>
      </c>
      <c r="D153" s="51">
        <f t="shared" si="48"/>
        <v>7.4527134874917182</v>
      </c>
      <c r="E153" s="52">
        <f t="shared" si="49"/>
        <v>0</v>
      </c>
      <c r="F153" s="29"/>
      <c r="G153" s="73"/>
      <c r="H153" s="29">
        <v>1.2</v>
      </c>
      <c r="I153" s="56">
        <f t="shared" si="36"/>
        <v>0</v>
      </c>
      <c r="J153" s="14">
        <f t="shared" si="50"/>
        <v>0</v>
      </c>
      <c r="K153" s="14"/>
      <c r="L153" s="56">
        <f t="shared" si="45"/>
        <v>0</v>
      </c>
      <c r="M153" s="56">
        <f t="shared" si="51"/>
        <v>0</v>
      </c>
      <c r="N153" s="17"/>
      <c r="O153" s="50">
        <f t="shared" si="52"/>
        <v>0.49143021002505682</v>
      </c>
      <c r="P153" s="50">
        <f t="shared" si="53"/>
        <v>0.2730341520658367</v>
      </c>
      <c r="Q153" s="75">
        <f t="shared" si="54"/>
        <v>176.12811867850152</v>
      </c>
      <c r="R153" s="135">
        <f t="shared" si="55"/>
        <v>1.77E-2</v>
      </c>
      <c r="S153" s="75">
        <f t="shared" si="56"/>
        <v>80.863853229752294</v>
      </c>
      <c r="T153" s="2"/>
      <c r="U153" s="169">
        <f t="shared" si="57"/>
        <v>1.6403906514967648E-2</v>
      </c>
      <c r="V153" s="3" t="str">
        <f t="shared" si="44"/>
        <v xml:space="preserve"> Mature Males</v>
      </c>
      <c r="Y153" s="27"/>
      <c r="AB153" s="302"/>
    </row>
    <row r="154" spans="1:29" x14ac:dyDescent="0.2">
      <c r="A154" s="49" t="str">
        <f t="shared" si="46"/>
        <v>Growing heifers/steers</v>
      </c>
      <c r="B154" s="50">
        <f t="shared" si="47"/>
        <v>19.634249388694307</v>
      </c>
      <c r="C154" s="50">
        <v>0.32200000000000001</v>
      </c>
      <c r="D154" s="51">
        <f t="shared" si="48"/>
        <v>3.3378223960780327</v>
      </c>
      <c r="E154" s="52">
        <f t="shared" si="49"/>
        <v>4.6915765140263694</v>
      </c>
      <c r="F154" s="29"/>
      <c r="G154" s="73"/>
      <c r="H154" s="29">
        <v>0.8</v>
      </c>
      <c r="I154" s="56">
        <f t="shared" si="36"/>
        <v>0</v>
      </c>
      <c r="J154" s="14">
        <f t="shared" si="50"/>
        <v>0</v>
      </c>
      <c r="K154" s="14"/>
      <c r="L154" s="56">
        <f t="shared" si="45"/>
        <v>0</v>
      </c>
      <c r="M154" s="56">
        <f t="shared" si="51"/>
        <v>0</v>
      </c>
      <c r="N154" s="17"/>
      <c r="O154" s="50">
        <f t="shared" si="52"/>
        <v>0.49760985956980297</v>
      </c>
      <c r="P154" s="50">
        <f t="shared" si="53"/>
        <v>0.28277035278856011</v>
      </c>
      <c r="Q154" s="75">
        <f t="shared" si="54"/>
        <v>103.40467429904187</v>
      </c>
      <c r="R154" s="135">
        <f t="shared" si="55"/>
        <v>0.22</v>
      </c>
      <c r="S154" s="75">
        <f t="shared" si="56"/>
        <v>47.475102036667032</v>
      </c>
      <c r="T154" s="2"/>
      <c r="U154" s="169">
        <f t="shared" si="57"/>
        <v>2.3352455803758328E-2</v>
      </c>
      <c r="V154" s="3" t="str">
        <f t="shared" si="44"/>
        <v>Growing heifers/steers</v>
      </c>
      <c r="Y154" s="27"/>
      <c r="AB154" s="302"/>
    </row>
    <row r="155" spans="1:29" x14ac:dyDescent="0.2">
      <c r="A155" s="49" t="str">
        <f t="shared" si="46"/>
        <v>Replacement/growing</v>
      </c>
      <c r="B155" s="50">
        <f t="shared" si="47"/>
        <v>23.330534568796722</v>
      </c>
      <c r="C155" s="50">
        <v>0.32200000000000001</v>
      </c>
      <c r="D155" s="51">
        <f t="shared" si="48"/>
        <v>3.966190876695443</v>
      </c>
      <c r="E155" s="52">
        <f t="shared" si="49"/>
        <v>5.4818697492153596</v>
      </c>
      <c r="F155" s="29"/>
      <c r="G155" s="73"/>
      <c r="H155" s="29">
        <v>0.8</v>
      </c>
      <c r="I155" s="56">
        <f t="shared" si="36"/>
        <v>0</v>
      </c>
      <c r="J155" s="14">
        <f t="shared" si="50"/>
        <v>0</v>
      </c>
      <c r="K155" s="14"/>
      <c r="L155" s="56">
        <f t="shared" si="45"/>
        <v>0</v>
      </c>
      <c r="M155" s="56">
        <f t="shared" si="51"/>
        <v>0</v>
      </c>
      <c r="N155" s="17"/>
      <c r="O155" s="50">
        <f t="shared" si="52"/>
        <v>0.4955455801206064</v>
      </c>
      <c r="P155" s="50">
        <f t="shared" si="53"/>
        <v>0.27951460535702766</v>
      </c>
      <c r="Q155" s="75">
        <f t="shared" si="54"/>
        <v>124.07819297158518</v>
      </c>
      <c r="R155" s="135">
        <f t="shared" si="55"/>
        <v>0.18310000000000001</v>
      </c>
      <c r="S155" s="75">
        <f t="shared" si="56"/>
        <v>56.96671752783471</v>
      </c>
      <c r="T155" s="2"/>
      <c r="U155" s="169">
        <f t="shared" si="57"/>
        <v>2.2264212166302522E-2</v>
      </c>
      <c r="V155" s="3" t="str">
        <f t="shared" si="44"/>
        <v>Replacement/growing</v>
      </c>
      <c r="Y155" s="27"/>
      <c r="AB155" s="302"/>
    </row>
    <row r="156" spans="1:29" x14ac:dyDescent="0.2">
      <c r="A156" s="49" t="str">
        <f t="shared" si="46"/>
        <v>Calves on milk</v>
      </c>
      <c r="B156" s="50">
        <f t="shared" si="47"/>
        <v>7.4396053802118836</v>
      </c>
      <c r="C156" s="50">
        <v>0.32200000000000001</v>
      </c>
      <c r="D156" s="51">
        <f t="shared" si="48"/>
        <v>1.2647329146360202</v>
      </c>
      <c r="E156" s="52">
        <f t="shared" si="49"/>
        <v>3.8188179225064625</v>
      </c>
      <c r="F156" s="29"/>
      <c r="G156" s="73"/>
      <c r="H156" s="29">
        <v>0.8</v>
      </c>
      <c r="I156" s="56">
        <f t="shared" si="36"/>
        <v>0</v>
      </c>
      <c r="J156" s="14">
        <f t="shared" si="50"/>
        <v>0</v>
      </c>
      <c r="K156" s="14"/>
      <c r="L156" s="56">
        <f t="shared" si="45"/>
        <v>0</v>
      </c>
      <c r="M156" s="56">
        <f t="shared" si="51"/>
        <v>0</v>
      </c>
      <c r="N156" s="17"/>
      <c r="O156" s="50">
        <f t="shared" si="52"/>
        <v>0.56851307894736836</v>
      </c>
      <c r="P156" s="50">
        <f t="shared" si="53"/>
        <v>0.39816278947368422</v>
      </c>
      <c r="Q156" s="75">
        <f t="shared" si="54"/>
        <v>26.212427297411374</v>
      </c>
      <c r="R156" s="135">
        <f t="shared" si="55"/>
        <v>0.10460000000000001</v>
      </c>
      <c r="S156" s="75">
        <f t="shared" si="56"/>
        <v>0</v>
      </c>
      <c r="T156" s="2"/>
      <c r="U156" s="169">
        <f t="shared" si="57"/>
        <v>2.1589976233002722E-2</v>
      </c>
      <c r="V156" s="3" t="str">
        <f t="shared" si="44"/>
        <v>Calves on milk</v>
      </c>
      <c r="Y156" s="27"/>
      <c r="AB156" s="302"/>
    </row>
    <row r="157" spans="1:29" x14ac:dyDescent="0.2">
      <c r="A157" s="49" t="str">
        <f t="shared" si="46"/>
        <v>Calves on forage</v>
      </c>
      <c r="B157" s="50">
        <f t="shared" si="47"/>
        <v>14.452792467416767</v>
      </c>
      <c r="C157" s="50">
        <v>0.32200000000000001</v>
      </c>
      <c r="D157" s="51">
        <f t="shared" si="48"/>
        <v>2.4569747194608507</v>
      </c>
      <c r="E157" s="52">
        <f t="shared" si="49"/>
        <v>5.0042411358013856</v>
      </c>
      <c r="F157" s="29"/>
      <c r="G157" s="73"/>
      <c r="H157" s="29">
        <v>0.8</v>
      </c>
      <c r="I157" s="56">
        <f t="shared" si="36"/>
        <v>0</v>
      </c>
      <c r="J157" s="14">
        <f t="shared" si="50"/>
        <v>0</v>
      </c>
      <c r="K157" s="14"/>
      <c r="L157" s="56">
        <f t="shared" si="45"/>
        <v>0</v>
      </c>
      <c r="M157" s="56">
        <f t="shared" si="51"/>
        <v>0</v>
      </c>
      <c r="N157" s="17"/>
      <c r="O157" s="50">
        <f t="shared" si="52"/>
        <v>0.49803250147342865</v>
      </c>
      <c r="P157" s="50">
        <f t="shared" si="53"/>
        <v>0.28343737454566043</v>
      </c>
      <c r="Q157" s="75">
        <f t="shared" si="54"/>
        <v>84.89445131189224</v>
      </c>
      <c r="R157" s="135">
        <f t="shared" si="55"/>
        <v>0.10460000000000001</v>
      </c>
      <c r="S157" s="75">
        <f t="shared" si="56"/>
        <v>38.976697772126627</v>
      </c>
      <c r="T157" s="2"/>
      <c r="U157" s="169">
        <f t="shared" si="57"/>
        <v>2.8846186616588186E-2</v>
      </c>
      <c r="V157" s="3" t="str">
        <f t="shared" si="44"/>
        <v>Calves on forage</v>
      </c>
      <c r="Y157" s="27"/>
      <c r="AB157" s="302"/>
    </row>
    <row r="158" spans="1:29" x14ac:dyDescent="0.2">
      <c r="A158" s="49" t="str">
        <f t="shared" si="46"/>
        <v xml:space="preserve">Feedlot cattle </v>
      </c>
      <c r="B158" s="50">
        <f t="shared" si="47"/>
        <v>31.983371709807106</v>
      </c>
      <c r="C158" s="50">
        <v>0.32200000000000001</v>
      </c>
      <c r="D158" s="51">
        <f t="shared" si="48"/>
        <v>0</v>
      </c>
      <c r="E158" s="52">
        <f t="shared" si="49"/>
        <v>17.639359807365828</v>
      </c>
      <c r="F158" s="29"/>
      <c r="G158" s="73"/>
      <c r="H158" s="29">
        <v>1</v>
      </c>
      <c r="I158" s="56">
        <f t="shared" si="36"/>
        <v>0</v>
      </c>
      <c r="J158" s="14">
        <f t="shared" si="50"/>
        <v>0</v>
      </c>
      <c r="K158" s="14"/>
      <c r="L158" s="56">
        <f t="shared" si="45"/>
        <v>0</v>
      </c>
      <c r="M158" s="56">
        <f t="shared" si="51"/>
        <v>0</v>
      </c>
      <c r="N158" s="17"/>
      <c r="O158" s="50">
        <f t="shared" si="52"/>
        <v>0.53860851675675669</v>
      </c>
      <c r="P158" s="50">
        <f t="shared" si="53"/>
        <v>0.34838067459459465</v>
      </c>
      <c r="Q158" s="75">
        <f t="shared" si="54"/>
        <v>148.66744685220613</v>
      </c>
      <c r="R158" s="135">
        <f t="shared" si="55"/>
        <v>9.1999999999999998E-3</v>
      </c>
      <c r="S158" s="75">
        <f t="shared" si="56"/>
        <v>39.003499084316431</v>
      </c>
      <c r="T158" s="2"/>
      <c r="U158" s="169">
        <f t="shared" si="57"/>
        <v>1.7517078691199024E-2</v>
      </c>
      <c r="V158" s="3" t="str">
        <f t="shared" si="44"/>
        <v xml:space="preserve">Feedlot cattle </v>
      </c>
      <c r="Y158" s="27"/>
      <c r="AB158" s="302"/>
    </row>
    <row r="159" spans="1:29" x14ac:dyDescent="0.2">
      <c r="A159" s="188" t="str">
        <f t="shared" si="46"/>
        <v>Latin America_low productivity systems</v>
      </c>
      <c r="B159" s="155"/>
      <c r="C159" s="155"/>
      <c r="D159" s="156"/>
      <c r="E159" s="157"/>
      <c r="F159" s="166"/>
      <c r="G159" s="159"/>
      <c r="H159" s="160"/>
      <c r="I159" s="161"/>
      <c r="J159" s="109"/>
      <c r="K159" s="109"/>
      <c r="L159" s="161"/>
      <c r="M159" s="161"/>
      <c r="N159" s="112"/>
      <c r="O159" s="155"/>
      <c r="P159" s="155"/>
      <c r="Q159" s="163">
        <f>SUMPRODUCT(Q160:Q165,R160:R165)</f>
        <v>121.88438443530498</v>
      </c>
      <c r="R159" s="164"/>
      <c r="S159" s="121">
        <f>SUMPRODUCT(S160:S165,R160:R165)</f>
        <v>54.899071185634405</v>
      </c>
      <c r="T159" s="2"/>
      <c r="U159" s="171"/>
      <c r="V159" s="1" t="str">
        <f t="shared" si="44"/>
        <v>Latin America_low productivity systems</v>
      </c>
      <c r="AB159" s="302"/>
    </row>
    <row r="160" spans="1:29" x14ac:dyDescent="0.2">
      <c r="A160" s="49" t="str">
        <f t="shared" si="46"/>
        <v xml:space="preserve"> Mature Females</v>
      </c>
      <c r="B160" s="50">
        <f t="shared" ref="B160:B165" si="58">C160*B36^0.75</f>
        <v>35.811645146696769</v>
      </c>
      <c r="C160" s="50">
        <v>0.38600000000000001</v>
      </c>
      <c r="D160" s="51">
        <f>0.17*B160</f>
        <v>6.0879796749384507</v>
      </c>
      <c r="E160" s="52">
        <f t="shared" ref="E160:E165" si="59">22.02*(B36/(H160*R36))^0.75*C36^1.097</f>
        <v>0</v>
      </c>
      <c r="F160" s="29">
        <f>F36</f>
        <v>4.3</v>
      </c>
      <c r="G160" s="73">
        <f>G36</f>
        <v>3.2000000000000001E-2</v>
      </c>
      <c r="H160" s="29">
        <v>0.8</v>
      </c>
      <c r="I160" s="56">
        <f>J160*(1.47+0.4*F36)</f>
        <v>5.742</v>
      </c>
      <c r="J160" s="16">
        <f>E36</f>
        <v>1.8</v>
      </c>
      <c r="K160" s="14"/>
      <c r="L160" s="56">
        <f t="shared" ref="L160:L165" si="60">0.1*B160*H43</f>
        <v>0</v>
      </c>
      <c r="M160" s="56">
        <f t="shared" ref="M160:M165" si="61">0.1*B160*N160</f>
        <v>2.1128870636551094</v>
      </c>
      <c r="N160" s="17">
        <f>I36</f>
        <v>0.59</v>
      </c>
      <c r="O160" s="50">
        <f t="shared" ref="O160:O165" si="62">1.123-(4.092*10^-3*J36)+(1.126*10^-5*J36^2)-(25.4/J36)</f>
        <v>0.49025958542372883</v>
      </c>
      <c r="P160" s="50">
        <f t="shared" ref="P160:P165" si="63">1.164-(5.16*10^-3*J36)+(1.308*10^-5*J36^2)-37.4/J36</f>
        <v>0.27119317491525408</v>
      </c>
      <c r="Q160" s="75">
        <f t="shared" ref="Q160:Q165" si="64">((B160+D160+I160+L160+M160)/O160+(E160/P160))/(J36/100)</f>
        <v>172.01026490613808</v>
      </c>
      <c r="R160" s="135">
        <f t="shared" ref="R160:R165" si="65">M36</f>
        <v>0.37</v>
      </c>
      <c r="S160" s="75">
        <f t="shared" ref="S160:S165" si="66">Q160*L36*365/$A$249</f>
        <v>78.973266277660883</v>
      </c>
      <c r="T160" s="2"/>
      <c r="U160" s="169">
        <f t="shared" ref="U160:U165" si="67">Q160/$A$253/B36</f>
        <v>2.2197737115258492E-2</v>
      </c>
      <c r="V160" s="3" t="str">
        <f t="shared" si="44"/>
        <v xml:space="preserve"> Mature Females</v>
      </c>
      <c r="Y160" s="27"/>
      <c r="AB160" s="302"/>
    </row>
    <row r="161" spans="1:28" x14ac:dyDescent="0.2">
      <c r="A161" s="49" t="str">
        <f t="shared" si="46"/>
        <v xml:space="preserve"> Mature Males</v>
      </c>
      <c r="B161" s="50">
        <f t="shared" si="58"/>
        <v>43.729319517807866</v>
      </c>
      <c r="C161" s="50">
        <v>0.37</v>
      </c>
      <c r="D161" s="51">
        <f t="shared" ref="D161:D165" si="68">0.17*B161</f>
        <v>7.4339843180273375</v>
      </c>
      <c r="E161" s="52">
        <f t="shared" si="59"/>
        <v>0</v>
      </c>
      <c r="F161" s="29"/>
      <c r="G161" s="73"/>
      <c r="H161" s="29">
        <v>1.2</v>
      </c>
      <c r="I161" s="56">
        <f>J161*(1.47+0.4*F44)</f>
        <v>0</v>
      </c>
      <c r="J161" s="14"/>
      <c r="K161" s="14"/>
      <c r="L161" s="56">
        <f t="shared" si="60"/>
        <v>0</v>
      </c>
      <c r="M161" s="56">
        <f t="shared" si="61"/>
        <v>0</v>
      </c>
      <c r="N161" s="17"/>
      <c r="O161" s="50">
        <f t="shared" si="62"/>
        <v>0.49025958542372883</v>
      </c>
      <c r="P161" s="50">
        <f t="shared" si="63"/>
        <v>0.27119317491525408</v>
      </c>
      <c r="Q161" s="75">
        <f t="shared" si="64"/>
        <v>176.88071117178623</v>
      </c>
      <c r="R161" s="135">
        <f t="shared" si="65"/>
        <v>0.02</v>
      </c>
      <c r="S161" s="75">
        <f t="shared" si="66"/>
        <v>81.209383116606261</v>
      </c>
      <c r="T161" s="2"/>
      <c r="U161" s="169">
        <f t="shared" si="67"/>
        <v>1.6529362785887881E-2</v>
      </c>
      <c r="V161" s="3" t="str">
        <f t="shared" si="44"/>
        <v xml:space="preserve"> Mature Males</v>
      </c>
      <c r="Y161" s="27"/>
      <c r="AB161" s="302"/>
    </row>
    <row r="162" spans="1:28" x14ac:dyDescent="0.2">
      <c r="A162" s="49" t="str">
        <f t="shared" si="46"/>
        <v>Growing heifers/steers</v>
      </c>
      <c r="B162" s="50">
        <f t="shared" si="58"/>
        <v>19.634249388694307</v>
      </c>
      <c r="C162" s="50">
        <v>0.32200000000000001</v>
      </c>
      <c r="D162" s="51">
        <f t="shared" si="68"/>
        <v>3.3378223960780327</v>
      </c>
      <c r="E162" s="52">
        <f t="shared" si="59"/>
        <v>4.068302261295031</v>
      </c>
      <c r="F162" s="29"/>
      <c r="G162" s="73"/>
      <c r="H162" s="29">
        <v>0.8</v>
      </c>
      <c r="I162" s="56">
        <f>J162*(1.47+0.4*F45)</f>
        <v>0</v>
      </c>
      <c r="J162" s="14"/>
      <c r="K162" s="14"/>
      <c r="L162" s="56">
        <f t="shared" si="60"/>
        <v>0</v>
      </c>
      <c r="M162" s="56">
        <f t="shared" si="61"/>
        <v>0</v>
      </c>
      <c r="N162" s="17"/>
      <c r="O162" s="50">
        <f t="shared" si="62"/>
        <v>0.49468266666666677</v>
      </c>
      <c r="P162" s="50">
        <f t="shared" si="63"/>
        <v>0.27815466666666655</v>
      </c>
      <c r="Q162" s="75">
        <f t="shared" si="64"/>
        <v>101.77339950731688</v>
      </c>
      <c r="R162" s="135">
        <f t="shared" si="65"/>
        <v>0.22</v>
      </c>
      <c r="S162" s="75">
        <f t="shared" si="66"/>
        <v>46.726151975057441</v>
      </c>
      <c r="T162" s="2"/>
      <c r="U162" s="169">
        <f t="shared" si="67"/>
        <v>2.2984055895961357E-2</v>
      </c>
      <c r="V162" s="3" t="str">
        <f t="shared" si="44"/>
        <v>Growing heifers/steers</v>
      </c>
      <c r="Y162" s="27"/>
      <c r="AB162" s="302"/>
    </row>
    <row r="163" spans="1:28" x14ac:dyDescent="0.2">
      <c r="A163" s="49" t="str">
        <f t="shared" si="46"/>
        <v>Replacement/growing</v>
      </c>
      <c r="B163" s="50">
        <f t="shared" si="58"/>
        <v>22.628427250468981</v>
      </c>
      <c r="C163" s="50">
        <v>0.32200000000000001</v>
      </c>
      <c r="D163" s="51">
        <f t="shared" si="68"/>
        <v>3.8468326325797269</v>
      </c>
      <c r="E163" s="52">
        <f t="shared" si="59"/>
        <v>4.6887089967209086</v>
      </c>
      <c r="F163" s="29"/>
      <c r="G163" s="73"/>
      <c r="H163" s="29">
        <v>0.8</v>
      </c>
      <c r="I163" s="56">
        <f>J163*(1.47+0.4*F46)</f>
        <v>0</v>
      </c>
      <c r="J163" s="14"/>
      <c r="K163" s="14"/>
      <c r="L163" s="56">
        <f t="shared" si="60"/>
        <v>0</v>
      </c>
      <c r="M163" s="56">
        <f t="shared" si="61"/>
        <v>0</v>
      </c>
      <c r="N163" s="17"/>
      <c r="O163" s="50">
        <f t="shared" si="62"/>
        <v>0.49468266666666677</v>
      </c>
      <c r="P163" s="50">
        <f t="shared" si="63"/>
        <v>0.27815466666666655</v>
      </c>
      <c r="Q163" s="75">
        <f t="shared" si="64"/>
        <v>117.29360879516591</v>
      </c>
      <c r="R163" s="135">
        <f t="shared" si="65"/>
        <v>0.19</v>
      </c>
      <c r="S163" s="75">
        <f t="shared" si="66"/>
        <v>53.851782654384351</v>
      </c>
      <c r="T163" s="2"/>
      <c r="U163" s="169">
        <f t="shared" si="67"/>
        <v>2.1921990242998957E-2</v>
      </c>
      <c r="V163" s="3" t="str">
        <f t="shared" si="44"/>
        <v>Replacement/growing</v>
      </c>
      <c r="Y163" s="27"/>
      <c r="AB163" s="302"/>
    </row>
    <row r="164" spans="1:28" x14ac:dyDescent="0.2">
      <c r="A164" s="49" t="str">
        <f t="shared" si="46"/>
        <v>Calves on milk</v>
      </c>
      <c r="B164" s="50">
        <f t="shared" si="58"/>
        <v>6.9417554431267838</v>
      </c>
      <c r="C164" s="50">
        <v>0.32200000000000001</v>
      </c>
      <c r="D164" s="51">
        <f t="shared" si="68"/>
        <v>1.1800984253315534</v>
      </c>
      <c r="E164" s="52">
        <f t="shared" si="59"/>
        <v>3.0483224165360725</v>
      </c>
      <c r="F164" s="29"/>
      <c r="G164" s="73"/>
      <c r="H164" s="29">
        <v>0.8</v>
      </c>
      <c r="I164" s="56">
        <f>J164*(1.47+0.4*F47)</f>
        <v>0</v>
      </c>
      <c r="J164" s="14"/>
      <c r="K164" s="14"/>
      <c r="L164" s="56">
        <f t="shared" si="60"/>
        <v>0</v>
      </c>
      <c r="M164" s="56">
        <f t="shared" si="61"/>
        <v>0</v>
      </c>
      <c r="N164" s="17"/>
      <c r="O164" s="50">
        <f t="shared" si="62"/>
        <v>0.56851307894736836</v>
      </c>
      <c r="P164" s="50">
        <f t="shared" si="63"/>
        <v>0.39816278947368422</v>
      </c>
      <c r="Q164" s="75">
        <f t="shared" si="64"/>
        <v>23.096951405670307</v>
      </c>
      <c r="R164" s="135">
        <f t="shared" si="65"/>
        <v>0.1</v>
      </c>
      <c r="S164" s="75">
        <f t="shared" si="66"/>
        <v>0</v>
      </c>
      <c r="T164" s="2"/>
      <c r="U164" s="169">
        <f t="shared" si="67"/>
        <v>2.0864454747669656E-2</v>
      </c>
      <c r="V164" s="3" t="str">
        <f t="shared" si="44"/>
        <v>Calves on milk</v>
      </c>
      <c r="Y164" s="27"/>
      <c r="AB164" s="302"/>
    </row>
    <row r="165" spans="1:28" x14ac:dyDescent="0.2">
      <c r="A165" s="49" t="str">
        <f t="shared" si="46"/>
        <v>Calves on forage</v>
      </c>
      <c r="B165" s="50">
        <f t="shared" si="58"/>
        <v>13.454943343789578</v>
      </c>
      <c r="C165" s="50">
        <v>0.32200000000000001</v>
      </c>
      <c r="D165" s="51">
        <f t="shared" si="68"/>
        <v>2.2873403684442284</v>
      </c>
      <c r="E165" s="52">
        <f t="shared" si="59"/>
        <v>4.027976252599661</v>
      </c>
      <c r="F165" s="29"/>
      <c r="G165" s="73"/>
      <c r="H165" s="29">
        <v>0.8</v>
      </c>
      <c r="I165" s="56">
        <f>J165*(1.47+0.4*F48)</f>
        <v>0</v>
      </c>
      <c r="J165" s="14"/>
      <c r="K165" s="14"/>
      <c r="L165" s="56">
        <f t="shared" si="60"/>
        <v>0</v>
      </c>
      <c r="M165" s="56">
        <f t="shared" si="61"/>
        <v>0</v>
      </c>
      <c r="N165" s="17"/>
      <c r="O165" s="50">
        <f t="shared" si="62"/>
        <v>0.49468266666666677</v>
      </c>
      <c r="P165" s="50">
        <f t="shared" si="63"/>
        <v>0.27815466666666655</v>
      </c>
      <c r="Q165" s="75">
        <f t="shared" si="64"/>
        <v>77.173434933398923</v>
      </c>
      <c r="R165" s="135">
        <f t="shared" si="65"/>
        <v>0.1</v>
      </c>
      <c r="S165" s="75">
        <f t="shared" si="66"/>
        <v>35.431828617220887</v>
      </c>
      <c r="T165" s="2"/>
      <c r="U165" s="169">
        <f t="shared" si="67"/>
        <v>2.8847186219380965E-2</v>
      </c>
      <c r="V165" s="3" t="str">
        <f t="shared" si="44"/>
        <v>Calves on forage</v>
      </c>
      <c r="Y165" s="27"/>
      <c r="AB165" s="302"/>
    </row>
    <row r="166" spans="1:28" x14ac:dyDescent="0.2">
      <c r="A166" s="188" t="str">
        <f t="shared" si="46"/>
        <v>Latin America_high productivity systems</v>
      </c>
      <c r="B166" s="155"/>
      <c r="C166" s="155"/>
      <c r="D166" s="156"/>
      <c r="E166" s="157"/>
      <c r="F166" s="166"/>
      <c r="G166" s="159"/>
      <c r="H166" s="160"/>
      <c r="I166" s="161"/>
      <c r="J166" s="109"/>
      <c r="K166" s="109"/>
      <c r="L166" s="161"/>
      <c r="M166" s="161"/>
      <c r="N166" s="112"/>
      <c r="O166" s="155"/>
      <c r="P166" s="155"/>
      <c r="Q166" s="163">
        <f>SUMPRODUCT(R167:R173,Q167:Q173)</f>
        <v>136.16657213285657</v>
      </c>
      <c r="R166" s="164"/>
      <c r="S166" s="121">
        <f>SUMPRODUCT(S167:S173,R167:R173)</f>
        <v>57.720783116963013</v>
      </c>
      <c r="T166" s="2"/>
      <c r="U166" s="171"/>
      <c r="V166" s="1" t="str">
        <f t="shared" si="44"/>
        <v>Latin America_high productivity systems</v>
      </c>
      <c r="AB166" s="302"/>
    </row>
    <row r="167" spans="1:28" x14ac:dyDescent="0.2">
      <c r="A167" s="49" t="str">
        <f t="shared" si="46"/>
        <v xml:space="preserve"> Mature Females</v>
      </c>
      <c r="B167" s="50">
        <f t="shared" ref="B167:B173" si="69">C167*B43^0.75</f>
        <v>40.200769362448199</v>
      </c>
      <c r="C167" s="50">
        <v>0.38600000000000001</v>
      </c>
      <c r="D167" s="51">
        <f>0.17*B167</f>
        <v>6.834130791616194</v>
      </c>
      <c r="E167" s="52">
        <f t="shared" ref="E167:E173" si="70">22.02*(B43/(H167*R43))^0.75*C43^1.097</f>
        <v>0</v>
      </c>
      <c r="F167" s="29">
        <f>F43</f>
        <v>4.2</v>
      </c>
      <c r="G167" s="73">
        <f>G43</f>
        <v>3.2000000000000001E-2</v>
      </c>
      <c r="H167" s="29">
        <v>0.8</v>
      </c>
      <c r="I167" s="56">
        <f>J167*(1.47+0.4*F43)</f>
        <v>8.5050000000000008</v>
      </c>
      <c r="J167" s="16">
        <f>E43</f>
        <v>2.7</v>
      </c>
      <c r="K167" s="14"/>
      <c r="L167" s="56">
        <f>0.1*B167*H36</f>
        <v>0</v>
      </c>
      <c r="M167" s="56">
        <f>0.1*B167*N167</f>
        <v>3.1356600102709598</v>
      </c>
      <c r="N167" s="17">
        <f>I43</f>
        <v>0.78</v>
      </c>
      <c r="O167" s="50">
        <f t="shared" ref="O167:O173" si="71">1.123-(4.092*10^-3*J43)+(1.126*10^-5*J43^2)-(25.4/J43)</f>
        <v>0.49889301737704922</v>
      </c>
      <c r="P167" s="50">
        <f t="shared" ref="P167:P173" si="72">1.164-(5.16*10^-3*J43)+(1.308*10^-5*J43^2)-37.4/J43</f>
        <v>0.28479592590163927</v>
      </c>
      <c r="Q167" s="75">
        <f t="shared" ref="Q167:Q173" si="73">((B167+D167+I167+L167+M167)/O167+(E167/P167))/(J43/100)</f>
        <v>192.80575101666693</v>
      </c>
      <c r="R167" s="135">
        <f t="shared" ref="R167:R173" si="74">M43</f>
        <v>0.33</v>
      </c>
      <c r="S167" s="75">
        <f t="shared" ref="S167:S172" si="75">Q167*L43*365/$A$249</f>
        <v>88.520879397589241</v>
      </c>
      <c r="T167" s="2"/>
      <c r="U167" s="169">
        <f t="shared" ref="U167:U173" si="76">Q167/$A$253/B43</f>
        <v>2.1326890218092687E-2</v>
      </c>
      <c r="V167" s="3" t="str">
        <f t="shared" si="44"/>
        <v xml:space="preserve"> Mature Females</v>
      </c>
      <c r="Y167" s="27"/>
      <c r="AB167" s="302"/>
    </row>
    <row r="168" spans="1:28" x14ac:dyDescent="0.2">
      <c r="A168" s="49" t="str">
        <f t="shared" si="46"/>
        <v xml:space="preserve"> Mature Males</v>
      </c>
      <c r="B168" s="50">
        <f t="shared" si="69"/>
        <v>44.574804631151849</v>
      </c>
      <c r="C168" s="50">
        <v>0.37</v>
      </c>
      <c r="D168" s="51">
        <f t="shared" ref="D168:D172" si="77">0.17*B168</f>
        <v>7.5777167872958149</v>
      </c>
      <c r="E168" s="52">
        <f t="shared" si="70"/>
        <v>0</v>
      </c>
      <c r="F168" s="58"/>
      <c r="G168" s="73"/>
      <c r="H168" s="29">
        <v>1.2</v>
      </c>
      <c r="I168" s="56">
        <f>J168*(1.47+0.4*F37)</f>
        <v>0</v>
      </c>
      <c r="J168" s="14"/>
      <c r="K168" s="14"/>
      <c r="L168" s="56">
        <f>0.1*B168*H37</f>
        <v>0</v>
      </c>
      <c r="M168" s="56">
        <f>0.1*B168*N168</f>
        <v>0</v>
      </c>
      <c r="N168" s="17"/>
      <c r="O168" s="50">
        <f t="shared" si="71"/>
        <v>0.49889301737704922</v>
      </c>
      <c r="P168" s="50">
        <f t="shared" si="72"/>
        <v>0.28479592590163927</v>
      </c>
      <c r="Q168" s="75">
        <f t="shared" si="73"/>
        <v>171.37128356907456</v>
      </c>
      <c r="R168" s="135">
        <f t="shared" si="74"/>
        <v>0.01</v>
      </c>
      <c r="S168" s="75">
        <f t="shared" si="75"/>
        <v>78.679897487688336</v>
      </c>
      <c r="T168" s="2"/>
      <c r="U168" s="169">
        <f t="shared" si="76"/>
        <v>1.5610783955644332E-2</v>
      </c>
      <c r="V168" s="3" t="str">
        <f t="shared" si="44"/>
        <v xml:space="preserve"> Mature Males</v>
      </c>
      <c r="Y168" s="27"/>
      <c r="AB168" s="302"/>
    </row>
    <row r="169" spans="1:28" x14ac:dyDescent="0.2">
      <c r="A169" s="49" t="str">
        <f t="shared" si="46"/>
        <v>Growing heifers/steers</v>
      </c>
      <c r="B169" s="50">
        <f t="shared" si="69"/>
        <v>19.634249388694307</v>
      </c>
      <c r="C169" s="50">
        <v>0.32200000000000001</v>
      </c>
      <c r="D169" s="51">
        <f t="shared" si="77"/>
        <v>3.3378223960780327</v>
      </c>
      <c r="E169" s="52">
        <f t="shared" si="70"/>
        <v>6.7177130407980066</v>
      </c>
      <c r="F169" s="58"/>
      <c r="G169" s="73"/>
      <c r="H169" s="29">
        <v>0.8</v>
      </c>
      <c r="I169" s="56">
        <f>J169*(1.47+0.4*F38)</f>
        <v>0</v>
      </c>
      <c r="J169" s="14"/>
      <c r="K169" s="14"/>
      <c r="L169" s="56">
        <f>0.1*B169*H38</f>
        <v>0</v>
      </c>
      <c r="M169" s="56">
        <f>0.1*B169*N169</f>
        <v>0</v>
      </c>
      <c r="N169" s="17"/>
      <c r="O169" s="50">
        <f t="shared" si="71"/>
        <v>0.50672033682539674</v>
      </c>
      <c r="P169" s="50">
        <f t="shared" si="72"/>
        <v>0.2971837263492062</v>
      </c>
      <c r="Q169" s="75">
        <f t="shared" si="73"/>
        <v>107.84030509815275</v>
      </c>
      <c r="R169" s="135">
        <f t="shared" si="74"/>
        <v>0.22</v>
      </c>
      <c r="S169" s="75">
        <f t="shared" si="75"/>
        <v>44.560427955651797</v>
      </c>
      <c r="T169" s="2"/>
      <c r="U169" s="169">
        <f t="shared" si="76"/>
        <v>2.4354179109790597E-2</v>
      </c>
      <c r="V169" s="3" t="str">
        <f t="shared" si="44"/>
        <v>Growing heifers/steers</v>
      </c>
      <c r="Y169" s="27"/>
      <c r="AB169" s="302"/>
    </row>
    <row r="170" spans="1:28" x14ac:dyDescent="0.2">
      <c r="A170" s="49" t="str">
        <f t="shared" si="46"/>
        <v>Replacement/growing</v>
      </c>
      <c r="B170" s="50">
        <f t="shared" si="69"/>
        <v>26.055949567382328</v>
      </c>
      <c r="C170" s="50">
        <v>0.32200000000000001</v>
      </c>
      <c r="D170" s="51">
        <f t="shared" si="77"/>
        <v>4.4295114264549964</v>
      </c>
      <c r="E170" s="52">
        <f t="shared" si="70"/>
        <v>8.9148502055784196</v>
      </c>
      <c r="F170" s="58"/>
      <c r="G170" s="73"/>
      <c r="H170" s="29">
        <v>0.8</v>
      </c>
      <c r="I170" s="56">
        <f>J170*(1.47+0.4*F39)</f>
        <v>0</v>
      </c>
      <c r="J170" s="14"/>
      <c r="K170" s="14"/>
      <c r="L170" s="56">
        <f>0.1*B170*H39</f>
        <v>0</v>
      </c>
      <c r="M170" s="56">
        <f>0.1*B170*N170</f>
        <v>0</v>
      </c>
      <c r="N170" s="17"/>
      <c r="O170" s="50">
        <f t="shared" si="71"/>
        <v>0.49889301737704922</v>
      </c>
      <c r="P170" s="50">
        <f t="shared" si="72"/>
        <v>0.28479592590163927</v>
      </c>
      <c r="Q170" s="75">
        <f t="shared" si="73"/>
        <v>151.48983503906868</v>
      </c>
      <c r="R170" s="135">
        <f t="shared" si="74"/>
        <v>0.16</v>
      </c>
      <c r="S170" s="75">
        <f t="shared" si="75"/>
        <v>69.551936841836564</v>
      </c>
      <c r="T170" s="2"/>
      <c r="U170" s="169">
        <f t="shared" si="76"/>
        <v>2.3459517621226274E-2</v>
      </c>
      <c r="V170" s="3" t="str">
        <f t="shared" si="44"/>
        <v>Replacement/growing</v>
      </c>
      <c r="Y170" s="27"/>
      <c r="AB170" s="302"/>
    </row>
    <row r="171" spans="1:28" x14ac:dyDescent="0.2">
      <c r="A171" s="49" t="str">
        <f t="shared" si="46"/>
        <v>Calves on milk</v>
      </c>
      <c r="B171" s="50">
        <f t="shared" si="69"/>
        <v>8.7743764062374563</v>
      </c>
      <c r="C171" s="50">
        <v>0.32200000000000001</v>
      </c>
      <c r="D171" s="51">
        <f t="shared" si="77"/>
        <v>1.4916439890603677</v>
      </c>
      <c r="E171" s="52">
        <f t="shared" si="70"/>
        <v>6.2353065769446658</v>
      </c>
      <c r="F171" s="58"/>
      <c r="G171" s="73"/>
      <c r="H171" s="29">
        <v>0.8</v>
      </c>
      <c r="I171" s="56">
        <f>J171*(1.47+0.4*F40)</f>
        <v>0</v>
      </c>
      <c r="J171" s="14"/>
      <c r="K171" s="14"/>
      <c r="L171" s="56">
        <f>0.1*B171*H40</f>
        <v>0</v>
      </c>
      <c r="M171" s="56">
        <f>0.1*B171*N171</f>
        <v>0</v>
      </c>
      <c r="N171" s="17"/>
      <c r="O171" s="50">
        <f t="shared" si="71"/>
        <v>0.56851307894736836</v>
      </c>
      <c r="P171" s="50">
        <f t="shared" si="72"/>
        <v>0.39816278947368422</v>
      </c>
      <c r="Q171" s="75">
        <f t="shared" si="73"/>
        <v>35.492486378175819</v>
      </c>
      <c r="R171" s="135">
        <f t="shared" si="74"/>
        <v>0.12</v>
      </c>
      <c r="S171" s="75">
        <f t="shared" si="75"/>
        <v>0</v>
      </c>
      <c r="T171" s="2"/>
      <c r="U171" s="169">
        <f t="shared" si="76"/>
        <v>2.3459902424598996E-2</v>
      </c>
      <c r="V171" s="3" t="str">
        <f t="shared" si="44"/>
        <v>Calves on milk</v>
      </c>
      <c r="Y171" s="27"/>
      <c r="AB171" s="302"/>
    </row>
    <row r="172" spans="1:28" x14ac:dyDescent="0.2">
      <c r="A172" s="49" t="str">
        <f t="shared" si="46"/>
        <v>Calves on forage</v>
      </c>
      <c r="B172" s="50">
        <f t="shared" si="69"/>
        <v>17.124912788162856</v>
      </c>
      <c r="C172" s="50">
        <v>0.32200000000000001</v>
      </c>
      <c r="D172" s="51">
        <f t="shared" si="77"/>
        <v>2.9112351739876856</v>
      </c>
      <c r="E172" s="52">
        <f t="shared" si="70"/>
        <v>7.9981838467782147</v>
      </c>
      <c r="F172" s="58"/>
      <c r="G172" s="73"/>
      <c r="H172" s="29">
        <v>0.8</v>
      </c>
      <c r="I172" s="56"/>
      <c r="J172" s="14"/>
      <c r="K172" s="14"/>
      <c r="L172" s="56"/>
      <c r="M172" s="56"/>
      <c r="N172" s="17"/>
      <c r="O172" s="50">
        <f t="shared" si="71"/>
        <v>0.50672033682539674</v>
      </c>
      <c r="P172" s="50">
        <f t="shared" si="72"/>
        <v>0.2971837263492062</v>
      </c>
      <c r="Q172" s="75">
        <f t="shared" si="73"/>
        <v>105.48270411959831</v>
      </c>
      <c r="R172" s="135">
        <f t="shared" si="74"/>
        <v>0.12</v>
      </c>
      <c r="S172" s="75">
        <f t="shared" si="75"/>
        <v>43.586249438098172</v>
      </c>
      <c r="T172" s="2"/>
      <c r="U172" s="169">
        <f t="shared" si="76"/>
        <v>2.8586098677397916E-2</v>
      </c>
      <c r="V172" s="3" t="str">
        <f t="shared" si="44"/>
        <v>Calves on forage</v>
      </c>
      <c r="Y172" s="27"/>
      <c r="AB172" s="302"/>
    </row>
    <row r="173" spans="1:28" x14ac:dyDescent="0.2">
      <c r="A173" s="49" t="str">
        <f t="shared" si="46"/>
        <v xml:space="preserve">Feedlot cattle </v>
      </c>
      <c r="B173" s="50">
        <f t="shared" si="69"/>
        <v>31.983371709807106</v>
      </c>
      <c r="C173" s="50">
        <v>0.32200000000000001</v>
      </c>
      <c r="D173" s="51">
        <f t="shared" ref="D173" si="78">IF(D49="Stall fed",0,IF(D49="Large Areas",0.37*B173,0.17*B173))</f>
        <v>0</v>
      </c>
      <c r="E173" s="52">
        <f t="shared" si="70"/>
        <v>17.639359807365828</v>
      </c>
      <c r="F173" s="58"/>
      <c r="G173" s="73"/>
      <c r="H173" s="29">
        <v>1</v>
      </c>
      <c r="I173" s="56">
        <f>J173*(1.47+0.4*F41)</f>
        <v>0</v>
      </c>
      <c r="J173" s="14"/>
      <c r="K173" s="14"/>
      <c r="L173" s="56">
        <f>0.1*B173*H41</f>
        <v>0</v>
      </c>
      <c r="M173" s="56">
        <f>0.1*B173*N173</f>
        <v>0</v>
      </c>
      <c r="N173" s="17"/>
      <c r="O173" s="50">
        <f t="shared" si="71"/>
        <v>0.53860851675675669</v>
      </c>
      <c r="P173" s="50">
        <f t="shared" si="72"/>
        <v>0.34838067459459465</v>
      </c>
      <c r="Q173" s="75">
        <f t="shared" si="73"/>
        <v>148.66744685220613</v>
      </c>
      <c r="R173" s="135">
        <f t="shared" si="74"/>
        <v>0.04</v>
      </c>
      <c r="S173" s="75">
        <f>Q173*L49*365/$A$249</f>
        <v>39.003499084316431</v>
      </c>
      <c r="T173" s="2"/>
      <c r="U173" s="169">
        <f t="shared" si="76"/>
        <v>1.7517078691199024E-2</v>
      </c>
      <c r="V173" s="3" t="str">
        <f t="shared" si="44"/>
        <v xml:space="preserve">Feedlot cattle </v>
      </c>
      <c r="Y173" s="27"/>
      <c r="AB173" s="302"/>
    </row>
    <row r="174" spans="1:28" x14ac:dyDescent="0.2">
      <c r="A174" s="76" t="s">
        <v>51</v>
      </c>
      <c r="B174" s="137"/>
      <c r="C174" s="137"/>
      <c r="D174" s="177">
        <f>IF(D50="Stall fed",0,IF(D50="Large Areas",0.37*B174,0.17*B174))</f>
        <v>0</v>
      </c>
      <c r="E174" s="178"/>
      <c r="F174" s="77"/>
      <c r="G174" s="184"/>
      <c r="H174" s="181"/>
      <c r="I174" s="130"/>
      <c r="J174" s="44"/>
      <c r="K174" s="77"/>
      <c r="L174" s="130"/>
      <c r="M174" s="130"/>
      <c r="N174" s="131"/>
      <c r="O174" s="176"/>
      <c r="P174" s="176"/>
      <c r="Q174" s="103">
        <f>SUMPRODUCT(Q175:Q180,R175:R180)</f>
        <v>118.83301947914427</v>
      </c>
      <c r="R174" s="303"/>
      <c r="S174" s="183">
        <f>SUMPRODUCT(R175:R180,S175:S180)</f>
        <v>54.046529535349563</v>
      </c>
      <c r="T174" s="2"/>
      <c r="U174" s="170"/>
      <c r="V174" s="1" t="str">
        <f t="shared" si="44"/>
        <v>Asia</v>
      </c>
      <c r="Z174" s="8"/>
      <c r="AB174" s="302"/>
    </row>
    <row r="175" spans="1:28" x14ac:dyDescent="0.2">
      <c r="A175" s="49" t="str">
        <f t="shared" ref="A175:A192" si="79">A51</f>
        <v>Mature Females</v>
      </c>
      <c r="B175" s="50">
        <f t="shared" ref="B175:B180" si="80">C175*B51^0.75</f>
        <v>32.928178885655264</v>
      </c>
      <c r="C175" s="50">
        <v>0.38600000000000001</v>
      </c>
      <c r="D175" s="51">
        <f>IF(D51="Stall fed",0,IF(D51="Large Areas",0.37*B175,0.17*B175))</f>
        <v>0</v>
      </c>
      <c r="E175" s="52">
        <f t="shared" ref="E175:E180" si="81">22.02*(B51/(H175*R51))^0.75*C51^1.097</f>
        <v>0</v>
      </c>
      <c r="F175" s="59">
        <f>F51</f>
        <v>4.7</v>
      </c>
      <c r="G175" s="73">
        <f>G51</f>
        <v>3.3000000000000002E-2</v>
      </c>
      <c r="H175" s="29">
        <v>0.8</v>
      </c>
      <c r="I175" s="56">
        <f t="shared" ref="I175:I180" si="82">J175*(1.47+0.4*F51)</f>
        <v>5.1175682109503757</v>
      </c>
      <c r="J175" s="16">
        <f t="shared" ref="J175:J180" si="83">E51</f>
        <v>1.5276323017762314</v>
      </c>
      <c r="K175" s="25">
        <f t="shared" ref="K175:K180" si="84">H51</f>
        <v>1.1000000000000001</v>
      </c>
      <c r="L175" s="56">
        <f>0.1*B175*K175</f>
        <v>3.6220996774220793</v>
      </c>
      <c r="M175" s="56">
        <f t="shared" ref="M175:M180" si="85">0.1*B175*N175</f>
        <v>1.6533430965842657</v>
      </c>
      <c r="N175" s="17">
        <f t="shared" ref="N175:N180" si="86">I51</f>
        <v>0.50210584142098524</v>
      </c>
      <c r="O175" s="50">
        <f t="shared" ref="O175:O180" si="87">1.123-(4.092*10^-3*J51)+(1.126*10^-5*J51^2)-(25.4/J51)</f>
        <v>0.50010576083537306</v>
      </c>
      <c r="P175" s="50">
        <f t="shared" ref="P175:P180" si="88">1.164-(5.16*10^-3*J51)+(1.308*10^-5*J51^2)-37.4/J51</f>
        <v>0.28671164192830056</v>
      </c>
      <c r="Q175" s="75">
        <f t="shared" ref="Q175:Q180" si="89">((B175+D175+I175+L175+M175)/O175+(E175/P175))/(J51/100)</f>
        <v>141.31771187015897</v>
      </c>
      <c r="R175" s="135">
        <f t="shared" ref="R175:R180" si="90">M51</f>
        <v>0.27304999999999996</v>
      </c>
      <c r="S175" s="75">
        <f>Q175*L51*365/A249</f>
        <v>64.881716770576134</v>
      </c>
      <c r="T175" s="2"/>
      <c r="U175" s="169">
        <f t="shared" ref="U175:U180" si="91">Q175/$A$253/B51</f>
        <v>2.039668941326412E-2</v>
      </c>
      <c r="V175" s="3" t="str">
        <f t="shared" si="44"/>
        <v>Mature Females</v>
      </c>
      <c r="Y175" s="27"/>
      <c r="AB175" s="302"/>
    </row>
    <row r="176" spans="1:28" x14ac:dyDescent="0.2">
      <c r="A176" s="49" t="str">
        <f t="shared" si="79"/>
        <v>Mature Females - grazing</v>
      </c>
      <c r="B176" s="50">
        <f t="shared" si="80"/>
        <v>28.171643515319449</v>
      </c>
      <c r="C176" s="50">
        <v>0.38600000000000001</v>
      </c>
      <c r="D176" s="51">
        <f>IF(D52="Stall fed",0,IF(D52="Large Areas",0.37*B176,0.17*B176))</f>
        <v>4.7891793976043067</v>
      </c>
      <c r="E176" s="52">
        <f t="shared" si="81"/>
        <v>0</v>
      </c>
      <c r="F176" s="59">
        <f>F52</f>
        <v>4.7</v>
      </c>
      <c r="G176" s="73">
        <f>G52</f>
        <v>3.3000000000000002E-2</v>
      </c>
      <c r="H176" s="29">
        <v>0.8</v>
      </c>
      <c r="I176" s="56">
        <f t="shared" si="82"/>
        <v>4.6899999999999995</v>
      </c>
      <c r="J176" s="14">
        <f t="shared" si="83"/>
        <v>1.4</v>
      </c>
      <c r="K176" s="25">
        <f t="shared" si="84"/>
        <v>0</v>
      </c>
      <c r="L176" s="56">
        <f t="shared" ref="L176:L239" si="92">0.1*B176*K176</f>
        <v>0</v>
      </c>
      <c r="M176" s="56">
        <f t="shared" si="85"/>
        <v>1.8311568284957642</v>
      </c>
      <c r="N176" s="17">
        <f t="shared" si="86"/>
        <v>0.65</v>
      </c>
      <c r="O176" s="50">
        <f t="shared" si="87"/>
        <v>0.49025958542372883</v>
      </c>
      <c r="P176" s="50">
        <f t="shared" si="88"/>
        <v>0.27119317491525408</v>
      </c>
      <c r="Q176" s="75">
        <f t="shared" si="89"/>
        <v>136.49628017651528</v>
      </c>
      <c r="R176" s="135">
        <f t="shared" si="90"/>
        <v>8.7149999999999991E-2</v>
      </c>
      <c r="S176" s="75">
        <f>Q176*L52*365/A249</f>
        <v>62.668103477268033</v>
      </c>
      <c r="T176" s="2"/>
      <c r="U176" s="169">
        <f t="shared" si="91"/>
        <v>2.42563028435764E-2</v>
      </c>
      <c r="V176" s="3" t="str">
        <f t="shared" si="44"/>
        <v>Mature Females - grazing</v>
      </c>
      <c r="Y176" s="27"/>
      <c r="AB176" s="302"/>
    </row>
    <row r="177" spans="1:28" x14ac:dyDescent="0.2">
      <c r="A177" s="49" t="str">
        <f t="shared" si="79"/>
        <v>Mature Males</v>
      </c>
      <c r="B177" s="50">
        <f t="shared" si="80"/>
        <v>39.189830244085528</v>
      </c>
      <c r="C177" s="50">
        <v>0.37</v>
      </c>
      <c r="D177" s="51">
        <f>IF(D53="Stall fed",0,IF(D53="Large Areas",0.37*B177,0.17*B177))</f>
        <v>0</v>
      </c>
      <c r="E177" s="52">
        <f t="shared" si="81"/>
        <v>0</v>
      </c>
      <c r="F177" s="59">
        <f>F53</f>
        <v>0</v>
      </c>
      <c r="G177" s="73"/>
      <c r="H177" s="29">
        <v>1</v>
      </c>
      <c r="I177" s="56">
        <f t="shared" si="82"/>
        <v>0</v>
      </c>
      <c r="J177" s="14">
        <f t="shared" si="83"/>
        <v>0</v>
      </c>
      <c r="K177" s="25">
        <f t="shared" si="84"/>
        <v>1.1000000000000001</v>
      </c>
      <c r="L177" s="56">
        <f t="shared" si="92"/>
        <v>4.3108813268494082</v>
      </c>
      <c r="M177" s="56">
        <f t="shared" si="85"/>
        <v>0</v>
      </c>
      <c r="N177" s="17">
        <f t="shared" si="86"/>
        <v>0</v>
      </c>
      <c r="O177" s="50">
        <f t="shared" si="87"/>
        <v>0.48197813493802577</v>
      </c>
      <c r="P177" s="50">
        <f t="shared" si="88"/>
        <v>0.2581977878576508</v>
      </c>
      <c r="Q177" s="75">
        <f t="shared" si="89"/>
        <v>157.64544009941477</v>
      </c>
      <c r="R177" s="135">
        <f t="shared" si="90"/>
        <v>0.14865</v>
      </c>
      <c r="S177" s="75">
        <f>Q177*L53*365/A249</f>
        <v>72.378095139982889</v>
      </c>
      <c r="T177" s="2"/>
      <c r="U177" s="169">
        <f t="shared" si="91"/>
        <v>1.7049939089983129E-2</v>
      </c>
      <c r="V177" s="3" t="str">
        <f t="shared" si="44"/>
        <v>Mature Males</v>
      </c>
      <c r="Y177" s="27"/>
      <c r="AB177" s="302"/>
    </row>
    <row r="178" spans="1:28" x14ac:dyDescent="0.2">
      <c r="A178" s="49" t="str">
        <f t="shared" si="79"/>
        <v>Mature Males - grazing</v>
      </c>
      <c r="B178" s="50">
        <f t="shared" si="80"/>
        <v>34.93840427303946</v>
      </c>
      <c r="C178" s="50">
        <v>0.37</v>
      </c>
      <c r="D178" s="51">
        <f>IF(D54="Stall fed",0,IF(D54="Large Areas",0.37*B178,0.17*B178))</f>
        <v>5.9395287264167083</v>
      </c>
      <c r="E178" s="52">
        <f t="shared" si="81"/>
        <v>0</v>
      </c>
      <c r="F178" s="59">
        <f>F54</f>
        <v>0</v>
      </c>
      <c r="G178" s="73"/>
      <c r="H178" s="29">
        <v>1.2</v>
      </c>
      <c r="I178" s="56">
        <f t="shared" si="82"/>
        <v>0</v>
      </c>
      <c r="J178" s="14">
        <f t="shared" si="83"/>
        <v>0</v>
      </c>
      <c r="K178" s="25">
        <f t="shared" si="84"/>
        <v>0</v>
      </c>
      <c r="L178" s="56">
        <f t="shared" si="92"/>
        <v>0</v>
      </c>
      <c r="M178" s="56">
        <f t="shared" si="85"/>
        <v>0</v>
      </c>
      <c r="N178" s="17">
        <f t="shared" si="86"/>
        <v>0</v>
      </c>
      <c r="O178" s="50">
        <f t="shared" si="87"/>
        <v>0.48072570491228067</v>
      </c>
      <c r="P178" s="50">
        <f t="shared" si="88"/>
        <v>0.25623656912280701</v>
      </c>
      <c r="Q178" s="75">
        <f t="shared" si="89"/>
        <v>149.18210363216718</v>
      </c>
      <c r="R178" s="135">
        <f t="shared" si="90"/>
        <v>6.2249999999999993E-2</v>
      </c>
      <c r="S178" s="75">
        <f>Q178*L54*365/A249</f>
        <v>68.492412359422673</v>
      </c>
      <c r="T178" s="2"/>
      <c r="U178" s="169">
        <f t="shared" si="91"/>
        <v>1.8804071800865595E-2</v>
      </c>
      <c r="V178" s="3" t="str">
        <f t="shared" si="44"/>
        <v>Mature Males - grazing</v>
      </c>
      <c r="Y178" s="27"/>
      <c r="AB178" s="302"/>
    </row>
    <row r="179" spans="1:28" x14ac:dyDescent="0.2">
      <c r="A179" s="49" t="str">
        <f t="shared" si="79"/>
        <v>Growing/Replacement</v>
      </c>
      <c r="B179" s="50">
        <f t="shared" si="80"/>
        <v>17.585742763018096</v>
      </c>
      <c r="C179" s="50">
        <v>0.32200000000000001</v>
      </c>
      <c r="D179" s="51">
        <f>B186*O62*0.17</f>
        <v>2.2939369888772214</v>
      </c>
      <c r="E179" s="52">
        <f t="shared" si="81"/>
        <v>5.251204152454596</v>
      </c>
      <c r="F179" s="59">
        <f>F55</f>
        <v>0</v>
      </c>
      <c r="G179" s="73"/>
      <c r="H179" s="29">
        <v>0.8</v>
      </c>
      <c r="I179" s="56">
        <f t="shared" si="82"/>
        <v>0</v>
      </c>
      <c r="J179" s="14">
        <f t="shared" si="83"/>
        <v>0</v>
      </c>
      <c r="K179" s="25">
        <f t="shared" si="84"/>
        <v>0</v>
      </c>
      <c r="L179" s="56">
        <f t="shared" si="92"/>
        <v>0</v>
      </c>
      <c r="M179" s="56">
        <f t="shared" si="85"/>
        <v>0</v>
      </c>
      <c r="N179" s="17">
        <f t="shared" si="86"/>
        <v>0</v>
      </c>
      <c r="O179" s="50">
        <f t="shared" si="87"/>
        <v>0.49736020167706907</v>
      </c>
      <c r="P179" s="50">
        <f t="shared" si="88"/>
        <v>0.2823764083978435</v>
      </c>
      <c r="Q179" s="75">
        <f t="shared" si="89"/>
        <v>96.596792057229848</v>
      </c>
      <c r="R179" s="135">
        <f t="shared" si="90"/>
        <v>0.25340000000000001</v>
      </c>
      <c r="S179" s="75">
        <f>Q179*L55*365/A249</f>
        <v>44.349470567155841</v>
      </c>
      <c r="T179" s="2"/>
      <c r="U179" s="169">
        <f t="shared" si="91"/>
        <v>2.5267360350096333E-2</v>
      </c>
      <c r="V179" s="3" t="str">
        <f t="shared" si="44"/>
        <v>Growing/Replacement</v>
      </c>
      <c r="Y179" s="27"/>
      <c r="AB179" s="302"/>
    </row>
    <row r="180" spans="1:28" x14ac:dyDescent="0.2">
      <c r="A180" s="49" t="str">
        <f t="shared" si="79"/>
        <v>Calves on forage</v>
      </c>
      <c r="B180" s="50">
        <f t="shared" si="80"/>
        <v>9.3719939401713361</v>
      </c>
      <c r="C180" s="50">
        <v>0.32200000000000001</v>
      </c>
      <c r="D180" s="51">
        <f>B187*O63*0.17</f>
        <v>0.98967584652862961</v>
      </c>
      <c r="E180" s="52">
        <f t="shared" si="81"/>
        <v>5.3380799031596933</v>
      </c>
      <c r="F180" s="59">
        <f>F56</f>
        <v>0</v>
      </c>
      <c r="G180" s="73"/>
      <c r="H180" s="29">
        <v>0.8</v>
      </c>
      <c r="I180" s="56">
        <f t="shared" si="82"/>
        <v>0</v>
      </c>
      <c r="J180" s="14">
        <f t="shared" si="83"/>
        <v>0</v>
      </c>
      <c r="K180" s="25">
        <f t="shared" si="84"/>
        <v>0</v>
      </c>
      <c r="L180" s="56">
        <f t="shared" si="92"/>
        <v>0</v>
      </c>
      <c r="M180" s="56">
        <f t="shared" si="85"/>
        <v>0</v>
      </c>
      <c r="N180" s="17">
        <f t="shared" si="86"/>
        <v>0</v>
      </c>
      <c r="O180" s="50">
        <f t="shared" si="87"/>
        <v>0.50138322983297523</v>
      </c>
      <c r="P180" s="50">
        <f t="shared" si="88"/>
        <v>0.28873099398739743</v>
      </c>
      <c r="Q180" s="75">
        <f t="shared" si="89"/>
        <v>63.546209153456424</v>
      </c>
      <c r="R180" s="135">
        <f t="shared" si="90"/>
        <v>0.17549999999999999</v>
      </c>
      <c r="S180" s="75">
        <f>Q180*L56*365/A249</f>
        <v>26.257773216239542</v>
      </c>
      <c r="T180" s="2"/>
      <c r="U180" s="169">
        <f t="shared" si="91"/>
        <v>3.8470258757549732E-2</v>
      </c>
      <c r="V180" s="3" t="str">
        <f t="shared" si="44"/>
        <v>Calves on forage</v>
      </c>
      <c r="Y180" s="27"/>
      <c r="AB180" s="302"/>
    </row>
    <row r="181" spans="1:28" x14ac:dyDescent="0.2">
      <c r="A181" s="188" t="str">
        <f t="shared" si="79"/>
        <v>Asia_low productivity systems</v>
      </c>
      <c r="B181" s="155"/>
      <c r="C181" s="155"/>
      <c r="D181" s="156"/>
      <c r="E181" s="157"/>
      <c r="F181" s="158"/>
      <c r="G181" s="159"/>
      <c r="H181" s="160"/>
      <c r="I181" s="161"/>
      <c r="J181" s="109"/>
      <c r="K181" s="162"/>
      <c r="L181" s="161"/>
      <c r="M181" s="161"/>
      <c r="N181" s="112"/>
      <c r="O181" s="155"/>
      <c r="P181" s="155"/>
      <c r="Q181" s="163">
        <f>SUMPRODUCT(Q182:Q187,R182:R187)</f>
        <v>117.24443933480798</v>
      </c>
      <c r="R181" s="304"/>
      <c r="S181" s="121">
        <f>SUMPRODUCT(S182:S187,R182:R187)</f>
        <v>53.829207996484172</v>
      </c>
      <c r="T181" s="2"/>
      <c r="U181" s="171"/>
      <c r="V181" s="1" t="str">
        <f t="shared" si="44"/>
        <v>Asia_low productivity systems</v>
      </c>
      <c r="AB181" s="302"/>
    </row>
    <row r="182" spans="1:28" x14ac:dyDescent="0.2">
      <c r="A182" s="49" t="str">
        <f t="shared" si="79"/>
        <v xml:space="preserve"> Mature Females-Farming</v>
      </c>
      <c r="B182" s="50">
        <f t="shared" ref="B182:B187" si="93">C182*B58^0.75</f>
        <v>31.234771841644651</v>
      </c>
      <c r="C182" s="50">
        <v>0.38600000000000001</v>
      </c>
      <c r="D182" s="51">
        <f t="shared" ref="D182:D187" si="94">IF(D58="Stall fed",0,IF(D58="Large Areas",0.37*B182,0.17*B182))</f>
        <v>0</v>
      </c>
      <c r="E182" s="52">
        <f t="shared" ref="E182:E187" si="95">22.02*(B58/(H182*R58))^0.75*C58^1.097</f>
        <v>0</v>
      </c>
      <c r="F182" s="59">
        <f>F58</f>
        <v>4.7</v>
      </c>
      <c r="G182" s="73">
        <f>G58</f>
        <v>3.3000000000000002E-2</v>
      </c>
      <c r="H182" s="29">
        <v>0.8</v>
      </c>
      <c r="I182" s="56">
        <f t="shared" ref="I182:I187" si="96">J182*(1.47+0.4*F58)</f>
        <v>4.6899999999999995</v>
      </c>
      <c r="J182" s="14">
        <f t="shared" ref="J182:J187" si="97">E58</f>
        <v>1.4</v>
      </c>
      <c r="K182" s="25">
        <f t="shared" ref="K182:K187" si="98">H58</f>
        <v>1.1000000000000001</v>
      </c>
      <c r="L182" s="56">
        <f t="shared" si="92"/>
        <v>3.435824902580912</v>
      </c>
      <c r="M182" s="56">
        <f t="shared" ref="M182:M187" si="99">0.1*B182*N182</f>
        <v>1.2493908736657862</v>
      </c>
      <c r="N182" s="17">
        <f t="shared" ref="N182:N187" si="100">I58</f>
        <v>0.4</v>
      </c>
      <c r="O182" s="50">
        <f t="shared" ref="O182:O187" si="101">1.123-(4.092*10^-3*J58)+(1.126*10^-5*J58^2)-(25.4/J58)</f>
        <v>0.49025958542372883</v>
      </c>
      <c r="P182" s="50">
        <f t="shared" ref="P182:P187" si="102">1.164-(5.16*10^-3*J58)+(1.308*10^-5*J58^2)-37.4/J58</f>
        <v>0.27119317491525408</v>
      </c>
      <c r="Q182" s="75">
        <f t="shared" ref="Q182:Q187" si="103">((B182+D182+I182+L182+M182)/O182+(E182/P182))/(J58/100)</f>
        <v>140.39600557419314</v>
      </c>
      <c r="R182" s="135">
        <f t="shared" ref="R182:R187" si="104">M58</f>
        <v>0.24499999999999997</v>
      </c>
      <c r="S182" s="75">
        <f>Q182*L58*365/A249</f>
        <v>64.458543439723911</v>
      </c>
      <c r="T182" s="2"/>
      <c r="U182" s="169">
        <f t="shared" ref="U182:U187" si="105">Q182/$A$253/B58</f>
        <v>2.1741541707192124E-2</v>
      </c>
      <c r="V182" s="3" t="str">
        <f t="shared" si="44"/>
        <v xml:space="preserve"> Mature Females-Farming</v>
      </c>
      <c r="Y182" s="27"/>
      <c r="AB182" s="302"/>
    </row>
    <row r="183" spans="1:28" x14ac:dyDescent="0.2">
      <c r="A183" s="49" t="str">
        <f t="shared" si="79"/>
        <v xml:space="preserve"> Mature Females-Grazing</v>
      </c>
      <c r="B183" s="50">
        <f t="shared" si="93"/>
        <v>28.171643515319449</v>
      </c>
      <c r="C183" s="50">
        <v>0.38600000000000001</v>
      </c>
      <c r="D183" s="51">
        <f t="shared" si="94"/>
        <v>4.7891793976043067</v>
      </c>
      <c r="E183" s="52">
        <f t="shared" si="95"/>
        <v>0</v>
      </c>
      <c r="F183" s="59">
        <f>F59</f>
        <v>4.7</v>
      </c>
      <c r="G183" s="73">
        <f>G59</f>
        <v>3.3000000000000002E-2</v>
      </c>
      <c r="H183" s="29">
        <v>0.8</v>
      </c>
      <c r="I183" s="56">
        <f t="shared" si="96"/>
        <v>4.6899999999999995</v>
      </c>
      <c r="J183" s="14">
        <f t="shared" si="97"/>
        <v>1.4</v>
      </c>
      <c r="K183" s="25">
        <f t="shared" si="98"/>
        <v>0</v>
      </c>
      <c r="L183" s="56">
        <f t="shared" si="92"/>
        <v>0</v>
      </c>
      <c r="M183" s="56">
        <f t="shared" si="99"/>
        <v>1.8311568284957642</v>
      </c>
      <c r="N183" s="17">
        <f t="shared" si="100"/>
        <v>0.65</v>
      </c>
      <c r="O183" s="50">
        <f t="shared" si="101"/>
        <v>0.49025958542372883</v>
      </c>
      <c r="P183" s="50">
        <f t="shared" si="102"/>
        <v>0.27119317491525408</v>
      </c>
      <c r="Q183" s="75">
        <f t="shared" si="103"/>
        <v>136.49628017651528</v>
      </c>
      <c r="R183" s="135">
        <f t="shared" si="104"/>
        <v>0.105</v>
      </c>
      <c r="S183" s="75">
        <f>Q183*L59*365/A249</f>
        <v>62.668103477268033</v>
      </c>
      <c r="T183" s="2"/>
      <c r="U183" s="169">
        <f t="shared" si="105"/>
        <v>2.42563028435764E-2</v>
      </c>
      <c r="V183" s="3" t="str">
        <f t="shared" si="44"/>
        <v xml:space="preserve"> Mature Females-Grazing</v>
      </c>
      <c r="Y183" s="27"/>
      <c r="AB183" s="302"/>
    </row>
    <row r="184" spans="1:28" x14ac:dyDescent="0.2">
      <c r="A184" s="49" t="str">
        <f t="shared" si="79"/>
        <v xml:space="preserve"> Mature Males-Farming</v>
      </c>
      <c r="B184" s="50">
        <f t="shared" si="93"/>
        <v>34.047354682786171</v>
      </c>
      <c r="C184" s="50">
        <v>0.32200000000000001</v>
      </c>
      <c r="D184" s="51">
        <f t="shared" si="94"/>
        <v>0</v>
      </c>
      <c r="E184" s="52">
        <f t="shared" si="95"/>
        <v>0</v>
      </c>
      <c r="F184" s="59">
        <f>F60</f>
        <v>0</v>
      </c>
      <c r="G184" s="73"/>
      <c r="H184" s="29">
        <v>1</v>
      </c>
      <c r="I184" s="56">
        <f t="shared" si="96"/>
        <v>0</v>
      </c>
      <c r="J184" s="14">
        <f t="shared" si="97"/>
        <v>0</v>
      </c>
      <c r="K184" s="25">
        <f t="shared" si="98"/>
        <v>1.1000000000000001</v>
      </c>
      <c r="L184" s="56">
        <f t="shared" si="92"/>
        <v>3.7452090151064792</v>
      </c>
      <c r="M184" s="56">
        <f t="shared" si="99"/>
        <v>0</v>
      </c>
      <c r="N184" s="17">
        <f t="shared" si="100"/>
        <v>0</v>
      </c>
      <c r="O184" s="50">
        <f t="shared" si="101"/>
        <v>0.48072570491228067</v>
      </c>
      <c r="P184" s="50">
        <f t="shared" si="102"/>
        <v>0.25623656912280701</v>
      </c>
      <c r="Q184" s="75">
        <f t="shared" si="103"/>
        <v>137.92219274343708</v>
      </c>
      <c r="R184" s="135">
        <f t="shared" si="104"/>
        <v>0.17499999999999999</v>
      </c>
      <c r="S184" s="75">
        <f>Q184*L60*365/A249</f>
        <v>63.322767737552887</v>
      </c>
      <c r="T184" s="2"/>
      <c r="U184" s="169">
        <f t="shared" si="105"/>
        <v>1.4950915202540604E-2</v>
      </c>
      <c r="V184" s="3" t="str">
        <f t="shared" si="44"/>
        <v xml:space="preserve"> Mature Males-Farming</v>
      </c>
      <c r="Y184" s="27"/>
      <c r="AB184" s="302"/>
    </row>
    <row r="185" spans="1:28" x14ac:dyDescent="0.2">
      <c r="A185" s="49" t="str">
        <f t="shared" si="79"/>
        <v xml:space="preserve"> Mature Males-Grazing</v>
      </c>
      <c r="B185" s="50">
        <f t="shared" si="93"/>
        <v>34.93840427303946</v>
      </c>
      <c r="C185" s="50">
        <v>0.37</v>
      </c>
      <c r="D185" s="51">
        <f t="shared" si="94"/>
        <v>5.9395287264167083</v>
      </c>
      <c r="E185" s="52">
        <f t="shared" si="95"/>
        <v>0</v>
      </c>
      <c r="F185" s="59">
        <f>F61</f>
        <v>0</v>
      </c>
      <c r="G185" s="73"/>
      <c r="H185" s="29">
        <v>1.2</v>
      </c>
      <c r="I185" s="56">
        <f t="shared" si="96"/>
        <v>0</v>
      </c>
      <c r="J185" s="14">
        <f t="shared" si="97"/>
        <v>0</v>
      </c>
      <c r="K185" s="25">
        <f t="shared" si="98"/>
        <v>0</v>
      </c>
      <c r="L185" s="56">
        <f t="shared" si="92"/>
        <v>0</v>
      </c>
      <c r="M185" s="56">
        <f t="shared" si="99"/>
        <v>0</v>
      </c>
      <c r="N185" s="17">
        <f t="shared" si="100"/>
        <v>0</v>
      </c>
      <c r="O185" s="50">
        <f t="shared" si="101"/>
        <v>0.48072570491228067</v>
      </c>
      <c r="P185" s="50">
        <f t="shared" si="102"/>
        <v>0.25623656912280701</v>
      </c>
      <c r="Q185" s="75">
        <f t="shared" si="103"/>
        <v>149.18210363216718</v>
      </c>
      <c r="R185" s="135">
        <f t="shared" si="104"/>
        <v>7.4999999999999997E-2</v>
      </c>
      <c r="S185" s="75">
        <f>Q185*L61*365/A249</f>
        <v>68.492412359422673</v>
      </c>
      <c r="T185" s="2"/>
      <c r="U185" s="169">
        <f t="shared" si="105"/>
        <v>1.8804071800865595E-2</v>
      </c>
      <c r="V185" s="3" t="str">
        <f t="shared" si="44"/>
        <v xml:space="preserve"> Mature Males-Grazing</v>
      </c>
      <c r="Y185" s="27"/>
      <c r="AB185" s="302"/>
    </row>
    <row r="186" spans="1:28" x14ac:dyDescent="0.2">
      <c r="A186" s="49" t="str">
        <f t="shared" si="79"/>
        <v>Growing/Replacement</v>
      </c>
      <c r="B186" s="50">
        <f t="shared" si="93"/>
        <v>16.47862885844048</v>
      </c>
      <c r="C186" s="50">
        <v>0.32200000000000001</v>
      </c>
      <c r="D186" s="51">
        <f t="shared" si="94"/>
        <v>2.801366905934882</v>
      </c>
      <c r="E186" s="52">
        <f t="shared" si="95"/>
        <v>4.6307379801383064</v>
      </c>
      <c r="F186" s="59">
        <f>F62</f>
        <v>0</v>
      </c>
      <c r="G186" s="73"/>
      <c r="H186" s="29">
        <v>0.8</v>
      </c>
      <c r="I186" s="56">
        <f t="shared" si="96"/>
        <v>0</v>
      </c>
      <c r="J186" s="14">
        <f t="shared" si="97"/>
        <v>0</v>
      </c>
      <c r="K186" s="25">
        <f t="shared" si="98"/>
        <v>0</v>
      </c>
      <c r="L186" s="56">
        <f t="shared" si="92"/>
        <v>0</v>
      </c>
      <c r="M186" s="56">
        <f t="shared" si="99"/>
        <v>0</v>
      </c>
      <c r="N186" s="17">
        <f t="shared" si="100"/>
        <v>0</v>
      </c>
      <c r="O186" s="50">
        <f t="shared" si="101"/>
        <v>0.49025958542372883</v>
      </c>
      <c r="P186" s="50">
        <f t="shared" si="102"/>
        <v>0.27119317491525408</v>
      </c>
      <c r="Q186" s="75">
        <f t="shared" si="103"/>
        <v>95.595794529082326</v>
      </c>
      <c r="R186" s="135">
        <f t="shared" si="104"/>
        <v>0.25</v>
      </c>
      <c r="S186" s="75">
        <f>Q186*L62*365/A249</f>
        <v>43.889893085679311</v>
      </c>
      <c r="T186" s="2"/>
      <c r="U186" s="169">
        <f t="shared" si="105"/>
        <v>2.7270230931131744E-2</v>
      </c>
      <c r="V186" s="3" t="str">
        <f t="shared" si="44"/>
        <v>Growing/Replacement</v>
      </c>
      <c r="Y186" s="27"/>
      <c r="AB186" s="302"/>
    </row>
    <row r="187" spans="1:28" x14ac:dyDescent="0.2">
      <c r="A187" s="49" t="str">
        <f t="shared" si="79"/>
        <v>Calves on forage</v>
      </c>
      <c r="B187" s="50">
        <f t="shared" si="93"/>
        <v>8.2063837026115998</v>
      </c>
      <c r="C187" s="50">
        <v>0.32200000000000001</v>
      </c>
      <c r="D187" s="51">
        <f t="shared" si="94"/>
        <v>1.395085229443972</v>
      </c>
      <c r="E187" s="52">
        <f t="shared" si="95"/>
        <v>4.5998140361097022</v>
      </c>
      <c r="F187" s="59">
        <f>F63</f>
        <v>0</v>
      </c>
      <c r="G187" s="73"/>
      <c r="H187" s="29">
        <v>0.8</v>
      </c>
      <c r="I187" s="56">
        <f t="shared" si="96"/>
        <v>0</v>
      </c>
      <c r="J187" s="14">
        <f t="shared" si="97"/>
        <v>0</v>
      </c>
      <c r="K187" s="25">
        <f t="shared" si="98"/>
        <v>0</v>
      </c>
      <c r="L187" s="56">
        <f t="shared" si="92"/>
        <v>0</v>
      </c>
      <c r="M187" s="56">
        <f t="shared" si="99"/>
        <v>0</v>
      </c>
      <c r="N187" s="17">
        <f t="shared" si="100"/>
        <v>0</v>
      </c>
      <c r="O187" s="50">
        <f t="shared" si="101"/>
        <v>0.49025958542372883</v>
      </c>
      <c r="P187" s="50">
        <f t="shared" si="102"/>
        <v>0.27119317491525408</v>
      </c>
      <c r="Q187" s="75">
        <f t="shared" si="103"/>
        <v>61.942122772079657</v>
      </c>
      <c r="R187" s="135">
        <f t="shared" si="104"/>
        <v>0.15</v>
      </c>
      <c r="S187" s="75">
        <f>Q187*L63*365/A249</f>
        <v>28.438836241269279</v>
      </c>
      <c r="T187" s="2"/>
      <c r="U187" s="169">
        <f t="shared" si="105"/>
        <v>4.476395502950653E-2</v>
      </c>
      <c r="V187" s="3" t="str">
        <f t="shared" si="44"/>
        <v>Calves on forage</v>
      </c>
      <c r="Y187" s="27"/>
      <c r="AB187" s="302"/>
    </row>
    <row r="188" spans="1:28" x14ac:dyDescent="0.2">
      <c r="A188" s="188" t="str">
        <f t="shared" si="79"/>
        <v>Asia_high productivity systems</v>
      </c>
      <c r="B188" s="155"/>
      <c r="C188" s="155"/>
      <c r="D188" s="156"/>
      <c r="E188" s="157"/>
      <c r="F188" s="158"/>
      <c r="G188" s="159"/>
      <c r="H188" s="160"/>
      <c r="I188" s="161"/>
      <c r="J188" s="109"/>
      <c r="K188" s="162"/>
      <c r="L188" s="161"/>
      <c r="M188" s="161"/>
      <c r="N188" s="112"/>
      <c r="O188" s="155"/>
      <c r="P188" s="155"/>
      <c r="Q188" s="163">
        <f>SUMPRODUCT(Q189:Q192,R189:R192)</f>
        <v>103.60887193537512</v>
      </c>
      <c r="R188" s="164"/>
      <c r="S188" s="121">
        <f>SUMPRODUCT(S189:S192,R189:R192)</f>
        <v>42.811967837447455</v>
      </c>
      <c r="T188" s="2"/>
      <c r="U188" s="171"/>
      <c r="V188" s="1" t="str">
        <f t="shared" si="44"/>
        <v>Asia_high productivity systems</v>
      </c>
      <c r="AB188" s="302"/>
    </row>
    <row r="189" spans="1:28" x14ac:dyDescent="0.2">
      <c r="A189" s="49" t="str">
        <f t="shared" si="79"/>
        <v xml:space="preserve"> Mature Females</v>
      </c>
      <c r="B189" s="50">
        <f>C189*B65^0.75</f>
        <v>37.713487064849325</v>
      </c>
      <c r="C189" s="50">
        <v>0.38600000000000001</v>
      </c>
      <c r="D189" s="51">
        <f>IF(D65="Stall fed",0,IF(D65="Large Areas",0.37*B189,0.17*B189))</f>
        <v>0</v>
      </c>
      <c r="E189" s="52">
        <f>22.02*(B65/(H189*R65))^0.75*C65^1.097</f>
        <v>0</v>
      </c>
      <c r="F189" s="59">
        <f>F65</f>
        <v>4.7</v>
      </c>
      <c r="G189" s="73">
        <f>G65</f>
        <v>3.3000000000000002E-2</v>
      </c>
      <c r="H189" s="29">
        <v>0.8</v>
      </c>
      <c r="I189" s="56">
        <f>J189*(1.47+0.4*F65)</f>
        <v>6.3650000000000002</v>
      </c>
      <c r="J189" s="14">
        <f>E65</f>
        <v>1.9</v>
      </c>
      <c r="K189" s="25">
        <f>H65</f>
        <v>0</v>
      </c>
      <c r="L189" s="56">
        <f t="shared" si="92"/>
        <v>0</v>
      </c>
      <c r="M189" s="56">
        <f>0.1*B189*N189</f>
        <v>3.0170789651879462</v>
      </c>
      <c r="N189" s="17">
        <f>I65</f>
        <v>0.8</v>
      </c>
      <c r="O189" s="50">
        <f>1.123-(4.092*10^-3*J65)+(1.126*10^-5*J65^2)-(25.4/J65)</f>
        <v>0.52328082823529409</v>
      </c>
      <c r="P189" s="50">
        <f>1.164-(5.16*10^-3*J65)+(1.308*10^-5*J65^2)-37.4/J65</f>
        <v>0.32360191999999988</v>
      </c>
      <c r="Q189" s="75">
        <f>((B189+D189+I189+L189+M189)/O189+(E189/P189))/(J65/100)</f>
        <v>132.35376035436951</v>
      </c>
      <c r="R189" s="135">
        <f>M65</f>
        <v>0.41</v>
      </c>
      <c r="S189" s="75">
        <f>Q189*L65*365/A249</f>
        <v>54.689572674730044</v>
      </c>
      <c r="T189" s="2"/>
      <c r="U189" s="169">
        <f>Q189/$A$253/B65</f>
        <v>1.5941434550360678E-2</v>
      </c>
      <c r="V189" s="3" t="str">
        <f t="shared" si="44"/>
        <v xml:space="preserve"> Mature Females</v>
      </c>
      <c r="Y189" s="27"/>
      <c r="AB189" s="302"/>
    </row>
    <row r="190" spans="1:28" x14ac:dyDescent="0.2">
      <c r="A190" s="49" t="str">
        <f t="shared" si="79"/>
        <v>Mature Males</v>
      </c>
      <c r="B190" s="50">
        <f>C190*B66^0.75</f>
        <v>42.021711925854774</v>
      </c>
      <c r="C190" s="50">
        <v>0.37</v>
      </c>
      <c r="D190" s="51">
        <f>IF(D66="Stall fed",0,IF(D66="Large Areas",0.37*B190,0.17*B190))</f>
        <v>0</v>
      </c>
      <c r="E190" s="52">
        <f>22.02*(B66/(H190*R66))^0.75*C66^1.097</f>
        <v>0</v>
      </c>
      <c r="F190" s="59">
        <f>F66</f>
        <v>0</v>
      </c>
      <c r="G190" s="73"/>
      <c r="H190" s="29">
        <v>1.2</v>
      </c>
      <c r="I190" s="56">
        <f>J190*(1.47+0.4*F66)</f>
        <v>0</v>
      </c>
      <c r="J190" s="14">
        <f>E66</f>
        <v>0</v>
      </c>
      <c r="K190" s="25">
        <f>H66</f>
        <v>0</v>
      </c>
      <c r="L190" s="56">
        <f t="shared" si="92"/>
        <v>0</v>
      </c>
      <c r="M190" s="56">
        <f>0.1*B190*N190</f>
        <v>0</v>
      </c>
      <c r="N190" s="17">
        <f>I66</f>
        <v>0</v>
      </c>
      <c r="O190" s="50">
        <f>1.123-(4.092*10^-3*J66)+(1.126*10^-5*J66^2)-(25.4/J66)</f>
        <v>0.52328082823529409</v>
      </c>
      <c r="P190" s="50">
        <f>1.164-(5.16*10^-3*J66)+(1.308*10^-5*J66^2)-37.4/J66</f>
        <v>0.32360191999999988</v>
      </c>
      <c r="Q190" s="75">
        <f>((B190+D190+I190+L190+M190)/O190+(E190/P190))/(J66/100)</f>
        <v>118.09459061109264</v>
      </c>
      <c r="R190" s="135">
        <f>M66</f>
        <v>0.02</v>
      </c>
      <c r="S190" s="75">
        <f>Q190*L66*365/A249</f>
        <v>48.79757612043263</v>
      </c>
      <c r="T190" s="2"/>
      <c r="U190" s="169">
        <f>Q190/$A$253/B66</f>
        <v>1.1637801489144386E-2</v>
      </c>
      <c r="V190" s="3" t="str">
        <f t="shared" si="44"/>
        <v>Mature Males</v>
      </c>
      <c r="Y190" s="27"/>
      <c r="AB190" s="302"/>
    </row>
    <row r="191" spans="1:28" x14ac:dyDescent="0.2">
      <c r="A191" s="49" t="str">
        <f t="shared" si="79"/>
        <v>Growing/Replacement</v>
      </c>
      <c r="B191" s="50">
        <f>C191*B67^0.75</f>
        <v>22.335183079844732</v>
      </c>
      <c r="C191" s="50">
        <v>0.32200000000000001</v>
      </c>
      <c r="D191" s="51">
        <f>IF(D67="Stall fed",0,IF(D67="Large Areas",0.37*B191,0.17*B191))</f>
        <v>0</v>
      </c>
      <c r="E191" s="52">
        <f>22.02*(B67/(H191*R67))^0.75*C67^1.097</f>
        <v>8.1666180945040576</v>
      </c>
      <c r="F191" s="59">
        <f>F67</f>
        <v>0</v>
      </c>
      <c r="G191" s="73"/>
      <c r="H191" s="29">
        <v>0.8</v>
      </c>
      <c r="I191" s="56">
        <f>J191*(1.47+0.4*F67)</f>
        <v>0</v>
      </c>
      <c r="J191" s="14">
        <f>E67</f>
        <v>0</v>
      </c>
      <c r="K191" s="25">
        <f>H67</f>
        <v>0</v>
      </c>
      <c r="L191" s="56">
        <f t="shared" si="92"/>
        <v>0</v>
      </c>
      <c r="M191" s="56">
        <f>0.1*B191*N191</f>
        <v>0</v>
      </c>
      <c r="N191" s="17">
        <f>I67</f>
        <v>0</v>
      </c>
      <c r="O191" s="50">
        <f>1.123-(4.092*10^-3*J67)+(1.126*10^-5*J67^2)-(25.4/J67)</f>
        <v>0.52328082823529409</v>
      </c>
      <c r="P191" s="50">
        <f>1.164-(5.16*10^-3*J67)+(1.308*10^-5*J67^2)-37.4/J67</f>
        <v>0.32360191999999988</v>
      </c>
      <c r="Q191" s="75">
        <f>((B191+D191+I191+L191+M191)/O191+(E191/P191))/(J67/100)</f>
        <v>99.881756266237844</v>
      </c>
      <c r="R191" s="135">
        <f>M67</f>
        <v>0.27</v>
      </c>
      <c r="S191" s="75">
        <f>Q191*L67*365/A249</f>
        <v>41.271895513785068</v>
      </c>
      <c r="T191" s="2"/>
      <c r="U191" s="169">
        <f>Q191/$A$253/B67</f>
        <v>1.8995246758187201E-2</v>
      </c>
      <c r="V191" s="3" t="str">
        <f t="shared" si="44"/>
        <v>Growing/Replacement</v>
      </c>
      <c r="Y191" s="27"/>
      <c r="AB191" s="302"/>
    </row>
    <row r="192" spans="1:28" x14ac:dyDescent="0.2">
      <c r="A192" s="49" t="str">
        <f t="shared" si="79"/>
        <v>Calves on forage</v>
      </c>
      <c r="B192" s="50">
        <f>C192*B68^0.75</f>
        <v>12.037557688830825</v>
      </c>
      <c r="C192" s="50">
        <v>0.32200000000000001</v>
      </c>
      <c r="D192" s="51">
        <f>IF(D68="Stall fed",0,IF(D68="Large Areas",0.37*B192,0.17*B192))</f>
        <v>0</v>
      </c>
      <c r="E192" s="52">
        <f>22.02*(B68/(H192*R68))^0.75*C68^1.097</f>
        <v>7.235981076096901</v>
      </c>
      <c r="F192" s="59">
        <f>F68</f>
        <v>0</v>
      </c>
      <c r="G192" s="73"/>
      <c r="H192" s="29">
        <v>0.8</v>
      </c>
      <c r="I192" s="56">
        <f>J192*(1.47+0.4*F68)</f>
        <v>0</v>
      </c>
      <c r="J192" s="14">
        <f>E68</f>
        <v>0</v>
      </c>
      <c r="K192" s="25">
        <f>H68</f>
        <v>0</v>
      </c>
      <c r="L192" s="56">
        <f t="shared" si="92"/>
        <v>0</v>
      </c>
      <c r="M192" s="56">
        <f>0.1*B192*N192</f>
        <v>0</v>
      </c>
      <c r="N192" s="17">
        <f>I68</f>
        <v>0</v>
      </c>
      <c r="O192" s="50">
        <f>1.123-(4.092*10^-3*J68)+(1.126*10^-5*J68^2)-(25.4/J68)</f>
        <v>0.52328082823529409</v>
      </c>
      <c r="P192" s="50">
        <f>1.164-(5.16*10^-3*J68)+(1.308*10^-5*J68^2)-37.4/J68</f>
        <v>0.32360191999999988</v>
      </c>
      <c r="Q192" s="75">
        <f>((B192+D192+I192+L192+M192)/O192+(E192/P192))/(J68/100)</f>
        <v>66.71288061992513</v>
      </c>
      <c r="R192" s="135">
        <f>M68</f>
        <v>0.3</v>
      </c>
      <c r="S192" s="75">
        <f>Q192*L68*365/A249</f>
        <v>27.566265765591702</v>
      </c>
      <c r="T192" s="2"/>
      <c r="U192" s="169">
        <f>Q192/$A$253/B68</f>
        <v>2.8926994306742605E-2</v>
      </c>
      <c r="V192" s="3" t="str">
        <f t="shared" si="44"/>
        <v>Calves on forage</v>
      </c>
      <c r="Y192" s="27"/>
      <c r="AB192" s="302"/>
    </row>
    <row r="193" spans="1:28" x14ac:dyDescent="0.2">
      <c r="A193" s="76" t="s">
        <v>23</v>
      </c>
      <c r="B193" s="176"/>
      <c r="C193" s="137"/>
      <c r="D193" s="177"/>
      <c r="E193" s="178"/>
      <c r="F193" s="179"/>
      <c r="G193" s="180"/>
      <c r="H193" s="181"/>
      <c r="I193" s="130"/>
      <c r="J193" s="44"/>
      <c r="K193" s="182"/>
      <c r="L193" s="130"/>
      <c r="M193" s="130"/>
      <c r="N193" s="131"/>
      <c r="O193" s="176"/>
      <c r="P193" s="176"/>
      <c r="Q193" s="305">
        <f>SUMPRODUCT(Q194:Q200,R194:R200)</f>
        <v>113.93277935638183</v>
      </c>
      <c r="R193" s="69"/>
      <c r="S193" s="183">
        <f>SUMPRODUCT(S194:S200,R194:R200)</f>
        <v>52.308760333433177</v>
      </c>
      <c r="T193" s="2"/>
      <c r="U193" s="170"/>
      <c r="V193" s="1" t="str">
        <f t="shared" si="44"/>
        <v>Africa</v>
      </c>
      <c r="Z193" s="8"/>
      <c r="AB193" s="302"/>
    </row>
    <row r="194" spans="1:28" x14ac:dyDescent="0.2">
      <c r="A194" s="49" t="str">
        <f t="shared" ref="A194:A212" si="106">A70</f>
        <v xml:space="preserve"> Mature Females</v>
      </c>
      <c r="B194" s="50">
        <f t="shared" ref="B194:B200" si="107">C194*B70^0.75</f>
        <v>31.639120671889856</v>
      </c>
      <c r="C194" s="50">
        <v>0.38600000000000001</v>
      </c>
      <c r="D194" s="51">
        <f>IF(D70="Stall fed",0,IF(D70="Large Areas",0.37*B194,0.17*B194))</f>
        <v>5.3786505142212757</v>
      </c>
      <c r="E194" s="52">
        <f t="shared" ref="E194:E200" si="108">22.02*(B70/(H194*R70))^0.75*C70^1.097</f>
        <v>0</v>
      </c>
      <c r="F194" s="59">
        <f>F70</f>
        <v>3.9590361445783135</v>
      </c>
      <c r="G194" s="73">
        <f>G70</f>
        <v>3.5295180722891568E-2</v>
      </c>
      <c r="H194" s="29">
        <v>0.8</v>
      </c>
      <c r="I194" s="56">
        <f t="shared" ref="I194:I200" si="109">J194*(1.47+0.4*F70)</f>
        <v>7.3231561184497016</v>
      </c>
      <c r="J194" s="16">
        <f t="shared" ref="J194:J200" si="110">E70</f>
        <v>2.3981927710843371</v>
      </c>
      <c r="K194" s="25">
        <f t="shared" ref="K194:K200" si="111">H70</f>
        <v>0.55000000000000004</v>
      </c>
      <c r="L194" s="56">
        <f t="shared" si="92"/>
        <v>1.7401516369539423</v>
      </c>
      <c r="M194" s="56">
        <f t="shared" ref="M194:M200" si="112">0.1*B194*N194</f>
        <v>1.9538110000454396</v>
      </c>
      <c r="N194" s="17">
        <f t="shared" ref="N194:N200" si="113">I70</f>
        <v>0.61753012048192779</v>
      </c>
      <c r="O194" s="50">
        <f t="shared" ref="O194:O200" si="114">1.123-(4.092*10^-3*J70)+(1.126*10^-5*J70^2)-(25.4/J70)</f>
        <v>0.49517513414317965</v>
      </c>
      <c r="P194" s="50">
        <f t="shared" ref="P194:P200" si="115">1.164-(5.16*10^-3*J70)+(1.308*10^-5*J70^2)-37.4/J70</f>
        <v>0.27893071429209537</v>
      </c>
      <c r="Q194" s="75">
        <f t="shared" ref="Q194:Q200" si="116">((B194+D194+I194+L194+M194)/O194+(E194/P194))/(J70/100)</f>
        <v>161.36860234674808</v>
      </c>
      <c r="R194" s="135">
        <f t="shared" ref="R194:R200" si="117">M70</f>
        <v>0.16599999999999998</v>
      </c>
      <c r="S194" s="75">
        <f>Q194*L70*365/A249</f>
        <v>74.087471517689366</v>
      </c>
      <c r="T194" s="2"/>
      <c r="U194" s="169">
        <f t="shared" ref="U194:U200" si="118">Q194/$A$253/B70</f>
        <v>2.4564421078339227E-2</v>
      </c>
      <c r="V194" s="3" t="str">
        <f t="shared" ref="V194:V244" si="119">A194</f>
        <v xml:space="preserve"> Mature Females</v>
      </c>
      <c r="Y194" s="27"/>
      <c r="AB194" s="302"/>
    </row>
    <row r="195" spans="1:28" x14ac:dyDescent="0.2">
      <c r="A195" s="49" t="str">
        <f t="shared" si="106"/>
        <v xml:space="preserve"> Mature Females-Grazing</v>
      </c>
      <c r="B195" s="50">
        <f t="shared" si="107"/>
        <v>26.066746296531068</v>
      </c>
      <c r="C195" s="50">
        <v>0.38600000000000001</v>
      </c>
      <c r="D195" s="51">
        <f>IF(D71="Stall fed",0,IF(D71="Large Areas",0.36*B195,0.17*B195))</f>
        <v>9.3840286667511847</v>
      </c>
      <c r="E195" s="52">
        <f t="shared" si="108"/>
        <v>0</v>
      </c>
      <c r="F195" s="59">
        <f>F71</f>
        <v>4.0999999999999996</v>
      </c>
      <c r="G195" s="73">
        <f>G71</f>
        <v>3.5999999999999997E-2</v>
      </c>
      <c r="H195" s="29">
        <v>0.8</v>
      </c>
      <c r="I195" s="56">
        <f t="shared" si="109"/>
        <v>3.7319999999999998</v>
      </c>
      <c r="J195" s="14">
        <f t="shared" si="110"/>
        <v>1.2</v>
      </c>
      <c r="K195" s="25">
        <f t="shared" si="111"/>
        <v>0</v>
      </c>
      <c r="L195" s="56">
        <f t="shared" si="92"/>
        <v>0</v>
      </c>
      <c r="M195" s="56">
        <f t="shared" si="112"/>
        <v>1.4076043000126779</v>
      </c>
      <c r="N195" s="17">
        <f t="shared" si="113"/>
        <v>0.54</v>
      </c>
      <c r="O195" s="50">
        <f t="shared" si="114"/>
        <v>0.48561160551724136</v>
      </c>
      <c r="P195" s="50">
        <f t="shared" si="115"/>
        <v>0.26389353379310343</v>
      </c>
      <c r="Q195" s="75">
        <f t="shared" si="116"/>
        <v>144.11396212077881</v>
      </c>
      <c r="R195" s="135">
        <f t="shared" si="117"/>
        <v>0.105</v>
      </c>
      <c r="S195" s="75">
        <f>Q195*L71*365/A249</f>
        <v>66.165529778722345</v>
      </c>
      <c r="T195" s="2"/>
      <c r="U195" s="169">
        <f t="shared" si="118"/>
        <v>2.8403835845435588E-2</v>
      </c>
      <c r="V195" s="3" t="str">
        <f t="shared" si="119"/>
        <v xml:space="preserve"> Mature Females-Grazing</v>
      </c>
      <c r="Y195" s="27"/>
      <c r="AB195" s="302"/>
    </row>
    <row r="196" spans="1:28" x14ac:dyDescent="0.2">
      <c r="A196" s="49" t="str">
        <f t="shared" si="106"/>
        <v>Mature Males</v>
      </c>
      <c r="B196" s="50">
        <f t="shared" si="107"/>
        <v>41.447376287412673</v>
      </c>
      <c r="C196" s="50">
        <v>0.37</v>
      </c>
      <c r="D196" s="51">
        <f t="shared" ref="D196:D200" si="120">IF(D72="Stall fed",0,IF(D72="Large Areas",0.37*B196,0.17*B196))</f>
        <v>7.0460539688601553</v>
      </c>
      <c r="E196" s="52">
        <f t="shared" si="108"/>
        <v>0</v>
      </c>
      <c r="F196" s="59">
        <f>F72</f>
        <v>0</v>
      </c>
      <c r="G196" s="73"/>
      <c r="H196" s="29">
        <v>1.2</v>
      </c>
      <c r="I196" s="56">
        <f t="shared" si="109"/>
        <v>0</v>
      </c>
      <c r="J196" s="14">
        <f t="shared" si="110"/>
        <v>0</v>
      </c>
      <c r="K196" s="25">
        <f t="shared" si="111"/>
        <v>0</v>
      </c>
      <c r="L196" s="56">
        <f t="shared" si="92"/>
        <v>0</v>
      </c>
      <c r="M196" s="56">
        <f t="shared" si="112"/>
        <v>0</v>
      </c>
      <c r="N196" s="17">
        <f t="shared" si="113"/>
        <v>0</v>
      </c>
      <c r="O196" s="50">
        <f t="shared" si="114"/>
        <v>0.48561160551724136</v>
      </c>
      <c r="P196" s="50">
        <f t="shared" si="115"/>
        <v>0.26389353379310343</v>
      </c>
      <c r="Q196" s="75">
        <f t="shared" si="116"/>
        <v>172.17332032614846</v>
      </c>
      <c r="R196" s="135">
        <f t="shared" si="117"/>
        <v>1.7999999999999999E-2</v>
      </c>
      <c r="S196" s="75">
        <f>Q196*L72*365/A249</f>
        <v>79.048128200055601</v>
      </c>
      <c r="T196" s="2"/>
      <c r="U196" s="169">
        <f t="shared" si="118"/>
        <v>1.7281272741759356E-2</v>
      </c>
      <c r="V196" s="3" t="str">
        <f t="shared" si="119"/>
        <v>Mature Males</v>
      </c>
      <c r="Y196" s="27"/>
      <c r="AB196" s="302"/>
    </row>
    <row r="197" spans="1:28" x14ac:dyDescent="0.2">
      <c r="A197" s="49" t="str">
        <f t="shared" si="106"/>
        <v xml:space="preserve"> Draft Bullocks</v>
      </c>
      <c r="B197" s="50">
        <f t="shared" si="107"/>
        <v>29.296174368308044</v>
      </c>
      <c r="C197" s="50">
        <v>0.37</v>
      </c>
      <c r="D197" s="51">
        <f t="shared" si="120"/>
        <v>0</v>
      </c>
      <c r="E197" s="52">
        <f t="shared" si="108"/>
        <v>0</v>
      </c>
      <c r="F197" s="59">
        <f>F73</f>
        <v>0</v>
      </c>
      <c r="G197" s="73"/>
      <c r="H197" s="29">
        <v>1.2</v>
      </c>
      <c r="I197" s="56">
        <f t="shared" si="109"/>
        <v>0</v>
      </c>
      <c r="J197" s="14">
        <f t="shared" si="110"/>
        <v>0</v>
      </c>
      <c r="K197" s="25">
        <f t="shared" si="111"/>
        <v>1.1000000000000001</v>
      </c>
      <c r="L197" s="56">
        <f t="shared" si="92"/>
        <v>3.2225791805138857</v>
      </c>
      <c r="M197" s="56">
        <f t="shared" si="112"/>
        <v>0</v>
      </c>
      <c r="N197" s="17">
        <f t="shared" si="113"/>
        <v>0</v>
      </c>
      <c r="O197" s="50">
        <f t="shared" si="114"/>
        <v>0.48561160551724136</v>
      </c>
      <c r="P197" s="50">
        <f t="shared" si="115"/>
        <v>0.26389353379310343</v>
      </c>
      <c r="Q197" s="75">
        <f t="shared" si="116"/>
        <v>115.45608841816582</v>
      </c>
      <c r="R197" s="135">
        <f t="shared" si="117"/>
        <v>3.4999999999999996E-2</v>
      </c>
      <c r="S197" s="75">
        <f>Q197*L73*365/A249</f>
        <v>53.00814122343462</v>
      </c>
      <c r="T197" s="2"/>
      <c r="U197" s="169">
        <f t="shared" si="118"/>
        <v>1.840524285320673E-2</v>
      </c>
      <c r="V197" s="3" t="str">
        <f t="shared" si="119"/>
        <v xml:space="preserve"> Draft Bullocks</v>
      </c>
      <c r="Y197" s="27"/>
      <c r="AB197" s="302"/>
    </row>
    <row r="198" spans="1:28" x14ac:dyDescent="0.2">
      <c r="A198" s="49" t="str">
        <f t="shared" si="106"/>
        <v xml:space="preserve"> Bulls - Grazing</v>
      </c>
      <c r="B198" s="50">
        <f t="shared" si="107"/>
        <v>29.296174368308044</v>
      </c>
      <c r="C198" s="50">
        <v>0.37</v>
      </c>
      <c r="D198" s="51">
        <f>IF(D74="Stall fed",0,IF(D74="Large Areas",0.36*B198,0.17*B198))</f>
        <v>10.546622772590895</v>
      </c>
      <c r="E198" s="52">
        <f t="shared" si="108"/>
        <v>0</v>
      </c>
      <c r="F198" s="59">
        <f>F74</f>
        <v>0</v>
      </c>
      <c r="G198" s="73"/>
      <c r="H198" s="29">
        <v>0.8</v>
      </c>
      <c r="I198" s="56">
        <f t="shared" si="109"/>
        <v>0</v>
      </c>
      <c r="J198" s="14">
        <f t="shared" si="110"/>
        <v>0</v>
      </c>
      <c r="K198" s="25">
        <f t="shared" si="111"/>
        <v>0</v>
      </c>
      <c r="L198" s="56">
        <f t="shared" si="92"/>
        <v>0</v>
      </c>
      <c r="M198" s="56">
        <f t="shared" si="112"/>
        <v>0</v>
      </c>
      <c r="N198" s="17">
        <f t="shared" si="113"/>
        <v>0</v>
      </c>
      <c r="O198" s="50">
        <f t="shared" si="114"/>
        <v>0.48561160551724136</v>
      </c>
      <c r="P198" s="50">
        <f t="shared" si="115"/>
        <v>0.26389353379310343</v>
      </c>
      <c r="Q198" s="75">
        <f t="shared" si="116"/>
        <v>141.45971193577074</v>
      </c>
      <c r="R198" s="135">
        <f t="shared" si="117"/>
        <v>7.6999999999999999E-2</v>
      </c>
      <c r="S198" s="75">
        <f>Q198*L74*365/A249</f>
        <v>64.946911769253234</v>
      </c>
      <c r="T198" s="2"/>
      <c r="U198" s="169">
        <f t="shared" si="118"/>
        <v>2.2550567820145185E-2</v>
      </c>
      <c r="V198" s="3" t="str">
        <f t="shared" si="119"/>
        <v xml:space="preserve"> Bulls - Grazing</v>
      </c>
      <c r="Y198" s="27"/>
      <c r="AB198" s="302"/>
    </row>
    <row r="199" spans="1:28" x14ac:dyDescent="0.2">
      <c r="A199" s="49" t="str">
        <f t="shared" si="106"/>
        <v>Growing/Replacement</v>
      </c>
      <c r="B199" s="50">
        <f t="shared" si="107"/>
        <v>17.392181736408617</v>
      </c>
      <c r="C199" s="50">
        <v>0.32200000000000001</v>
      </c>
      <c r="D199" s="51">
        <f t="shared" si="120"/>
        <v>2.9566708951894651</v>
      </c>
      <c r="E199" s="52">
        <f t="shared" si="108"/>
        <v>4.473226044775072</v>
      </c>
      <c r="F199" s="59">
        <f>F75</f>
        <v>0</v>
      </c>
      <c r="G199" s="73"/>
      <c r="H199" s="29">
        <v>0.8</v>
      </c>
      <c r="I199" s="56">
        <f t="shared" si="109"/>
        <v>0</v>
      </c>
      <c r="J199" s="14">
        <f t="shared" si="110"/>
        <v>0</v>
      </c>
      <c r="K199" s="25">
        <f t="shared" si="111"/>
        <v>0</v>
      </c>
      <c r="L199" s="56">
        <f t="shared" si="92"/>
        <v>0</v>
      </c>
      <c r="M199" s="56">
        <f t="shared" si="112"/>
        <v>0</v>
      </c>
      <c r="N199" s="17">
        <f t="shared" si="113"/>
        <v>0</v>
      </c>
      <c r="O199" s="50">
        <f t="shared" si="114"/>
        <v>0.48838150246835255</v>
      </c>
      <c r="P199" s="50">
        <f t="shared" si="115"/>
        <v>0.26824175877341438</v>
      </c>
      <c r="Q199" s="75">
        <f t="shared" si="116"/>
        <v>99.576831897237824</v>
      </c>
      <c r="R199" s="135">
        <f t="shared" si="117"/>
        <v>0.41699999999999998</v>
      </c>
      <c r="S199" s="75">
        <f>Q199*L75*365/A249</f>
        <v>45.717664959109193</v>
      </c>
      <c r="T199" s="2"/>
      <c r="U199" s="169">
        <f t="shared" si="118"/>
        <v>2.6434088729450026E-2</v>
      </c>
      <c r="V199" s="3" t="str">
        <f t="shared" si="119"/>
        <v>Growing/Replacement</v>
      </c>
      <c r="Y199" s="27"/>
      <c r="AB199" s="302"/>
    </row>
    <row r="200" spans="1:28" x14ac:dyDescent="0.2">
      <c r="A200" s="49" t="str">
        <f t="shared" si="106"/>
        <v>Calves on forage</v>
      </c>
      <c r="B200" s="50">
        <f t="shared" si="107"/>
        <v>8.7682023403142093</v>
      </c>
      <c r="C200" s="50">
        <v>0.32200000000000001</v>
      </c>
      <c r="D200" s="51">
        <f t="shared" si="120"/>
        <v>1.4905943978534157</v>
      </c>
      <c r="E200" s="52">
        <f t="shared" si="108"/>
        <v>5.1614090774220038</v>
      </c>
      <c r="F200" s="59">
        <f>F76</f>
        <v>0</v>
      </c>
      <c r="G200" s="73"/>
      <c r="H200" s="29">
        <v>0.8</v>
      </c>
      <c r="I200" s="56">
        <f t="shared" si="109"/>
        <v>0</v>
      </c>
      <c r="J200" s="14">
        <f t="shared" si="110"/>
        <v>0</v>
      </c>
      <c r="K200" s="25">
        <f t="shared" si="111"/>
        <v>0</v>
      </c>
      <c r="L200" s="56">
        <f t="shared" si="92"/>
        <v>0</v>
      </c>
      <c r="M200" s="56">
        <f t="shared" si="112"/>
        <v>0</v>
      </c>
      <c r="N200" s="17">
        <f t="shared" si="113"/>
        <v>0</v>
      </c>
      <c r="O200" s="50">
        <f t="shared" si="114"/>
        <v>0.48885397860531854</v>
      </c>
      <c r="P200" s="50">
        <f t="shared" si="115"/>
        <v>0.26898401193327481</v>
      </c>
      <c r="Q200" s="75">
        <f t="shared" si="116"/>
        <v>68.448383315554338</v>
      </c>
      <c r="R200" s="135">
        <f t="shared" si="117"/>
        <v>0.182</v>
      </c>
      <c r="S200" s="75">
        <f>Q200*L76*365/A249</f>
        <v>31.425987308399169</v>
      </c>
      <c r="T200" s="2"/>
      <c r="U200" s="169">
        <f t="shared" si="118"/>
        <v>4.5285646174902675E-2</v>
      </c>
      <c r="V200" s="3" t="str">
        <f t="shared" si="119"/>
        <v>Calves on forage</v>
      </c>
      <c r="Y200" s="27"/>
      <c r="AB200" s="302"/>
    </row>
    <row r="201" spans="1:28" x14ac:dyDescent="0.2">
      <c r="A201" s="188" t="str">
        <f t="shared" si="106"/>
        <v>Africa_low productivity systems</v>
      </c>
      <c r="B201" s="155"/>
      <c r="C201" s="155"/>
      <c r="D201" s="156"/>
      <c r="E201" s="157"/>
      <c r="F201" s="158"/>
      <c r="G201" s="159"/>
      <c r="H201" s="160"/>
      <c r="I201" s="161"/>
      <c r="J201" s="109"/>
      <c r="K201" s="162"/>
      <c r="L201" s="161"/>
      <c r="M201" s="161"/>
      <c r="N201" s="112"/>
      <c r="O201" s="155"/>
      <c r="P201" s="155"/>
      <c r="Q201" s="163">
        <f>SUMPRODUCT(R202:R207,Q202:Q207)</f>
        <v>102.50339219669397</v>
      </c>
      <c r="R201" s="164"/>
      <c r="S201" s="121">
        <f>SUMPRODUCT(S202:S207,R202:R207)</f>
        <v>47.061305851312319</v>
      </c>
      <c r="T201" s="2"/>
      <c r="U201" s="171"/>
      <c r="V201" s="1" t="str">
        <f t="shared" si="119"/>
        <v>Africa_low productivity systems</v>
      </c>
      <c r="AB201" s="302"/>
    </row>
    <row r="202" spans="1:28" x14ac:dyDescent="0.2">
      <c r="A202" s="49" t="str">
        <f t="shared" si="106"/>
        <v xml:space="preserve"> Mature Females</v>
      </c>
      <c r="B202" s="50">
        <f t="shared" ref="B202:B207" si="121">C202*B78^0.75</f>
        <v>26.066746296531068</v>
      </c>
      <c r="C202" s="50">
        <v>0.38600000000000001</v>
      </c>
      <c r="D202" s="51">
        <f t="shared" ref="D202:D207" si="122">IF(D78="Stall fed",0,IF(D78="Large Areas",0.37*B202,0.17*B202))</f>
        <v>4.4313468704102821</v>
      </c>
      <c r="E202" s="52">
        <f t="shared" ref="E202:E207" si="123">22.02*(B78/(H202*R78))^0.75*C78^1.097</f>
        <v>0</v>
      </c>
      <c r="F202" s="59">
        <f>F78</f>
        <v>4.0999999999999996</v>
      </c>
      <c r="G202" s="73">
        <f>G78</f>
        <v>3.5999999999999997E-2</v>
      </c>
      <c r="H202" s="29">
        <v>0.8</v>
      </c>
      <c r="I202" s="56">
        <f t="shared" ref="I202:I207" si="124">J202*(1.47+0.4*F78)</f>
        <v>3.7319999999999998</v>
      </c>
      <c r="J202" s="14">
        <f t="shared" ref="J202:J207" si="125">E78</f>
        <v>1.2</v>
      </c>
      <c r="K202" s="25">
        <f t="shared" ref="K202:K207" si="126">H78</f>
        <v>0.55000000000000004</v>
      </c>
      <c r="L202" s="56">
        <f t="shared" si="92"/>
        <v>1.4336710463092088</v>
      </c>
      <c r="M202" s="56">
        <f t="shared" ref="M202:M207" si="127">0.1*B202*N202</f>
        <v>1.4076043000126779</v>
      </c>
      <c r="N202" s="17">
        <f t="shared" ref="N202:N207" si="128">I78</f>
        <v>0.54</v>
      </c>
      <c r="O202" s="50">
        <f t="shared" ref="O202:O207" si="129">1.123-(4.092*10^-3*J78)+(1.126*10^-5*J78^2)-(25.4/J78)</f>
        <v>0.48561160551724136</v>
      </c>
      <c r="P202" s="50">
        <f t="shared" ref="P202:P207" si="130">1.164-(5.16*10^-3*J78)+(1.308*10^-5*J78^2)-37.4/J78</f>
        <v>0.26389353379310343</v>
      </c>
      <c r="Q202" s="75">
        <f t="shared" ref="Q202:Q207" si="131">((B202+D202+I202+L202+M202)/O202+(E202/P202))/(J78/100)</f>
        <v>131.61990340201052</v>
      </c>
      <c r="R202" s="135">
        <f t="shared" ref="R202:R207" si="132">M78</f>
        <v>7.0000000000000007E-2</v>
      </c>
      <c r="S202" s="75">
        <f>Q202*L78*365/A249</f>
        <v>60.429263826080309</v>
      </c>
      <c r="T202" s="2"/>
      <c r="U202" s="169">
        <f t="shared" ref="U202:U207" si="133">Q202/$A$253/B78</f>
        <v>2.5941345829418188E-2</v>
      </c>
      <c r="V202" s="3" t="str">
        <f t="shared" si="119"/>
        <v xml:space="preserve"> Mature Females</v>
      </c>
      <c r="Y202" s="27"/>
      <c r="AB202" s="302"/>
    </row>
    <row r="203" spans="1:28" x14ac:dyDescent="0.2">
      <c r="A203" s="49" t="str">
        <f t="shared" si="106"/>
        <v xml:space="preserve"> Mature Females-Grazing</v>
      </c>
      <c r="B203" s="50">
        <f t="shared" si="121"/>
        <v>26.066746296531068</v>
      </c>
      <c r="C203" s="50">
        <v>0.38600000000000001</v>
      </c>
      <c r="D203" s="51">
        <f>IF(D79="Stall fed",0,IF(D79="Large Areas",0.36*B203,0.17*B203))</f>
        <v>9.3840286667511847</v>
      </c>
      <c r="E203" s="52">
        <f t="shared" si="123"/>
        <v>0</v>
      </c>
      <c r="F203" s="59">
        <f>F79</f>
        <v>4.0999999999999996</v>
      </c>
      <c r="G203" s="73">
        <f>G79</f>
        <v>3.5999999999999997E-2</v>
      </c>
      <c r="H203" s="29">
        <v>0.8</v>
      </c>
      <c r="I203" s="56">
        <f t="shared" si="124"/>
        <v>3.7319999999999998</v>
      </c>
      <c r="J203" s="14">
        <f t="shared" si="125"/>
        <v>1.2</v>
      </c>
      <c r="K203" s="25">
        <f t="shared" si="126"/>
        <v>0</v>
      </c>
      <c r="L203" s="56">
        <f t="shared" si="92"/>
        <v>0</v>
      </c>
      <c r="M203" s="56">
        <f t="shared" si="127"/>
        <v>1.4076043000126779</v>
      </c>
      <c r="N203" s="17">
        <f t="shared" si="128"/>
        <v>0.54</v>
      </c>
      <c r="O203" s="50">
        <f t="shared" si="129"/>
        <v>0.48561160551724136</v>
      </c>
      <c r="P203" s="50">
        <f t="shared" si="130"/>
        <v>0.26389353379310343</v>
      </c>
      <c r="Q203" s="75">
        <f t="shared" si="131"/>
        <v>144.11396212077881</v>
      </c>
      <c r="R203" s="135">
        <f t="shared" si="132"/>
        <v>0.15</v>
      </c>
      <c r="S203" s="75">
        <f>Q203*L79*365/A249</f>
        <v>66.165529778722345</v>
      </c>
      <c r="T203" s="2"/>
      <c r="U203" s="169">
        <f t="shared" si="133"/>
        <v>2.8403835845435588E-2</v>
      </c>
      <c r="V203" s="3" t="str">
        <f t="shared" si="119"/>
        <v xml:space="preserve"> Mature Females-Grazing</v>
      </c>
      <c r="Y203" s="27"/>
      <c r="AB203" s="302"/>
    </row>
    <row r="204" spans="1:28" x14ac:dyDescent="0.2">
      <c r="A204" s="49" t="str">
        <f t="shared" si="106"/>
        <v xml:space="preserve"> Draft Bullocks</v>
      </c>
      <c r="B204" s="50">
        <f t="shared" si="121"/>
        <v>25.495589585392405</v>
      </c>
      <c r="C204" s="50">
        <v>0.32200000000000001</v>
      </c>
      <c r="D204" s="51">
        <f t="shared" si="122"/>
        <v>0</v>
      </c>
      <c r="E204" s="52">
        <f t="shared" si="123"/>
        <v>0</v>
      </c>
      <c r="F204" s="59">
        <f>F80</f>
        <v>0</v>
      </c>
      <c r="G204" s="73"/>
      <c r="H204" s="29">
        <v>1.2</v>
      </c>
      <c r="I204" s="56">
        <f t="shared" si="124"/>
        <v>0</v>
      </c>
      <c r="J204" s="14">
        <f t="shared" si="125"/>
        <v>0</v>
      </c>
      <c r="K204" s="25">
        <f t="shared" si="126"/>
        <v>1.1000000000000001</v>
      </c>
      <c r="L204" s="56">
        <f t="shared" si="92"/>
        <v>2.8045148543931648</v>
      </c>
      <c r="M204" s="56">
        <f t="shared" si="127"/>
        <v>0</v>
      </c>
      <c r="N204" s="17">
        <f t="shared" si="128"/>
        <v>0</v>
      </c>
      <c r="O204" s="50">
        <f t="shared" si="129"/>
        <v>0.48561160551724136</v>
      </c>
      <c r="P204" s="50">
        <f t="shared" si="130"/>
        <v>0.26389353379310343</v>
      </c>
      <c r="Q204" s="75">
        <f t="shared" si="131"/>
        <v>100.47800127202541</v>
      </c>
      <c r="R204" s="135">
        <f t="shared" si="132"/>
        <v>0.05</v>
      </c>
      <c r="S204" s="75">
        <f>Q204*L80*365/A249</f>
        <v>46.131409389043114</v>
      </c>
      <c r="T204" s="2"/>
      <c r="U204" s="169">
        <f t="shared" si="133"/>
        <v>1.6017535672250185E-2</v>
      </c>
      <c r="V204" s="3" t="str">
        <f t="shared" si="119"/>
        <v xml:space="preserve"> Draft Bullocks</v>
      </c>
      <c r="Y204" s="27"/>
      <c r="AB204" s="302"/>
    </row>
    <row r="205" spans="1:28" x14ac:dyDescent="0.2">
      <c r="A205" s="49" t="str">
        <f t="shared" si="106"/>
        <v xml:space="preserve"> Bulls - Grazing</v>
      </c>
      <c r="B205" s="50">
        <f t="shared" si="121"/>
        <v>29.296174368308044</v>
      </c>
      <c r="C205" s="50">
        <v>0.37</v>
      </c>
      <c r="D205" s="51">
        <f>IF(D81="Stall fed",0,IF(D81="Large Areas",0.36*B205,0.17*B205))</f>
        <v>10.546622772590895</v>
      </c>
      <c r="E205" s="52">
        <f t="shared" si="123"/>
        <v>0</v>
      </c>
      <c r="F205" s="59">
        <f>F81</f>
        <v>0</v>
      </c>
      <c r="G205" s="73"/>
      <c r="H205" s="29">
        <v>1.2</v>
      </c>
      <c r="I205" s="56">
        <f t="shared" si="124"/>
        <v>0</v>
      </c>
      <c r="J205" s="14">
        <f t="shared" si="125"/>
        <v>0</v>
      </c>
      <c r="K205" s="25">
        <f t="shared" si="126"/>
        <v>0</v>
      </c>
      <c r="L205" s="56">
        <f t="shared" si="92"/>
        <v>0</v>
      </c>
      <c r="M205" s="56">
        <f t="shared" si="127"/>
        <v>0</v>
      </c>
      <c r="N205" s="17">
        <f t="shared" si="128"/>
        <v>0</v>
      </c>
      <c r="O205" s="50">
        <f t="shared" si="129"/>
        <v>0.48561160551724136</v>
      </c>
      <c r="P205" s="50">
        <f t="shared" si="130"/>
        <v>0.26389353379310343</v>
      </c>
      <c r="Q205" s="75">
        <f t="shared" si="131"/>
        <v>141.45971193577074</v>
      </c>
      <c r="R205" s="135">
        <f t="shared" si="132"/>
        <v>0.11</v>
      </c>
      <c r="S205" s="75">
        <f>Q205*L81*365/A249</f>
        <v>64.946911769253234</v>
      </c>
      <c r="T205" s="2"/>
      <c r="U205" s="169">
        <f t="shared" si="133"/>
        <v>2.2550567820145185E-2</v>
      </c>
      <c r="V205" s="3" t="str">
        <f t="shared" si="119"/>
        <v xml:space="preserve"> Bulls - Grazing</v>
      </c>
      <c r="Y205" s="27"/>
      <c r="AB205" s="302"/>
    </row>
    <row r="206" spans="1:28" x14ac:dyDescent="0.2">
      <c r="A206" s="49" t="str">
        <f t="shared" si="106"/>
        <v>Growing/Replacement</v>
      </c>
      <c r="B206" s="50">
        <f t="shared" si="121"/>
        <v>16.152310999424479</v>
      </c>
      <c r="C206" s="50">
        <v>0.32200000000000001</v>
      </c>
      <c r="D206" s="51">
        <f t="shared" si="122"/>
        <v>2.7458928699021619</v>
      </c>
      <c r="E206" s="52">
        <f t="shared" si="123"/>
        <v>3.6077294589951974</v>
      </c>
      <c r="F206" s="59">
        <f>F82</f>
        <v>0</v>
      </c>
      <c r="G206" s="73"/>
      <c r="H206" s="29">
        <v>0.8</v>
      </c>
      <c r="I206" s="56">
        <f t="shared" si="124"/>
        <v>0</v>
      </c>
      <c r="J206" s="14">
        <f t="shared" si="125"/>
        <v>0</v>
      </c>
      <c r="K206" s="25">
        <f t="shared" si="126"/>
        <v>0</v>
      </c>
      <c r="L206" s="56">
        <f t="shared" si="92"/>
        <v>0</v>
      </c>
      <c r="M206" s="56">
        <f t="shared" si="127"/>
        <v>0</v>
      </c>
      <c r="N206" s="17">
        <f t="shared" si="128"/>
        <v>0</v>
      </c>
      <c r="O206" s="50">
        <f t="shared" si="129"/>
        <v>0.48561160551724136</v>
      </c>
      <c r="P206" s="50">
        <f t="shared" si="130"/>
        <v>0.26389353379310343</v>
      </c>
      <c r="Q206" s="75">
        <f t="shared" si="131"/>
        <v>90.66801537677695</v>
      </c>
      <c r="R206" s="135">
        <f t="shared" si="132"/>
        <v>0.42</v>
      </c>
      <c r="S206" s="75">
        <f>Q206*L82*365/A249</f>
        <v>41.627453600658605</v>
      </c>
      <c r="T206" s="2"/>
      <c r="U206" s="169">
        <f t="shared" si="133"/>
        <v>2.656354365393011E-2</v>
      </c>
      <c r="V206" s="3" t="str">
        <f t="shared" si="119"/>
        <v>Growing/Replacement</v>
      </c>
      <c r="Y206" s="27"/>
      <c r="AB206" s="302"/>
    </row>
    <row r="207" spans="1:28" x14ac:dyDescent="0.2">
      <c r="A207" s="49" t="str">
        <f t="shared" si="106"/>
        <v>Calves on forage</v>
      </c>
      <c r="B207" s="50">
        <f t="shared" si="121"/>
        <v>8.2063837026115998</v>
      </c>
      <c r="C207" s="50">
        <v>0.32200000000000001</v>
      </c>
      <c r="D207" s="51">
        <f t="shared" si="122"/>
        <v>1.395085229443972</v>
      </c>
      <c r="E207" s="52">
        <f t="shared" si="123"/>
        <v>4.7371297324252959</v>
      </c>
      <c r="F207" s="59">
        <f>F83</f>
        <v>0</v>
      </c>
      <c r="G207" s="73"/>
      <c r="H207" s="29">
        <v>0.8</v>
      </c>
      <c r="I207" s="56">
        <f t="shared" si="124"/>
        <v>0</v>
      </c>
      <c r="J207" s="14">
        <f t="shared" si="125"/>
        <v>0</v>
      </c>
      <c r="K207" s="25">
        <f t="shared" si="126"/>
        <v>0</v>
      </c>
      <c r="L207" s="56">
        <f t="shared" si="92"/>
        <v>0</v>
      </c>
      <c r="M207" s="56">
        <f t="shared" si="127"/>
        <v>0</v>
      </c>
      <c r="N207" s="17">
        <f t="shared" si="128"/>
        <v>0</v>
      </c>
      <c r="O207" s="50">
        <f t="shared" si="129"/>
        <v>0.48561160551724136</v>
      </c>
      <c r="P207" s="50">
        <f t="shared" si="130"/>
        <v>0.26389353379310343</v>
      </c>
      <c r="Q207" s="75">
        <f t="shared" si="131"/>
        <v>65.039349028270166</v>
      </c>
      <c r="R207" s="135">
        <f t="shared" si="132"/>
        <v>0.2</v>
      </c>
      <c r="S207" s="75">
        <f>Q207*L83*365/A249</f>
        <v>29.860833201658636</v>
      </c>
      <c r="T207" s="2"/>
      <c r="U207" s="169">
        <f t="shared" si="133"/>
        <v>4.7002239586825777E-2</v>
      </c>
      <c r="V207" s="3" t="str">
        <f t="shared" si="119"/>
        <v>Calves on forage</v>
      </c>
      <c r="Y207" s="27"/>
      <c r="AB207" s="302"/>
    </row>
    <row r="208" spans="1:28" x14ac:dyDescent="0.2">
      <c r="A208" s="188" t="str">
        <f t="shared" si="106"/>
        <v>Africa_high productivity systems</v>
      </c>
      <c r="B208" s="155"/>
      <c r="C208" s="155"/>
      <c r="D208" s="156"/>
      <c r="E208" s="157"/>
      <c r="F208" s="158"/>
      <c r="G208" s="159"/>
      <c r="H208" s="160"/>
      <c r="I208" s="161"/>
      <c r="J208" s="109"/>
      <c r="K208" s="162"/>
      <c r="L208" s="161"/>
      <c r="M208" s="161"/>
      <c r="N208" s="112"/>
      <c r="O208" s="155"/>
      <c r="P208" s="155"/>
      <c r="Q208" s="165">
        <f>SUMPRODUCT(R209:R212,Q209:Q212)</f>
        <v>130.94291575776791</v>
      </c>
      <c r="R208" s="164"/>
      <c r="S208" s="121">
        <f>SUMPRODUCT(S209:S212,R209:R212)</f>
        <v>60.118445599478363</v>
      </c>
      <c r="T208" s="2"/>
      <c r="U208" s="171"/>
      <c r="V208" s="1" t="str">
        <f t="shared" si="119"/>
        <v>Africa_high productivity systems</v>
      </c>
      <c r="AB208" s="302"/>
    </row>
    <row r="209" spans="1:28" x14ac:dyDescent="0.2">
      <c r="A209" s="49" t="str">
        <f t="shared" si="106"/>
        <v xml:space="preserve"> Mature Females</v>
      </c>
      <c r="B209" s="50">
        <f>C209*B85^0.75</f>
        <v>33.875503576810104</v>
      </c>
      <c r="C209" s="50">
        <v>0.38600000000000001</v>
      </c>
      <c r="D209" s="51">
        <f>IF(D85="Stall fed",0,IF(D85="Large Areas",0.37*B209,0.17*B209))</f>
        <v>5.7588356080577183</v>
      </c>
      <c r="E209" s="52">
        <f>22.02*(B85/(H209*R85))^0.75*C85^1.097</f>
        <v>0</v>
      </c>
      <c r="F209" s="59">
        <f>F85</f>
        <v>3.9</v>
      </c>
      <c r="G209" s="73">
        <f>G85</f>
        <v>3.5000000000000003E-2</v>
      </c>
      <c r="H209" s="29">
        <v>0.8</v>
      </c>
      <c r="I209" s="56">
        <f>J209*(1.47+0.4*F85)</f>
        <v>8.7870000000000008</v>
      </c>
      <c r="J209" s="14">
        <f>E85</f>
        <v>2.9</v>
      </c>
      <c r="K209" s="25">
        <f>H85</f>
        <v>0</v>
      </c>
      <c r="L209" s="56">
        <f t="shared" si="92"/>
        <v>0</v>
      </c>
      <c r="M209" s="56">
        <f>0.1*B209*N209</f>
        <v>2.201907732492657</v>
      </c>
      <c r="N209" s="17">
        <f>I85</f>
        <v>0.65</v>
      </c>
      <c r="O209" s="50">
        <f>1.123-(4.092*10^-3*J85)+(1.126*10^-5*J85^2)-(25.4/J85)</f>
        <v>0.49889301737704922</v>
      </c>
      <c r="P209" s="50">
        <f>1.164-(5.16*10^-3*J85)+(1.308*10^-5*J85^2)-37.4/J85</f>
        <v>0.28479592590163927</v>
      </c>
      <c r="Q209" s="75">
        <f>((B209+D209+I209+L209+M209)/O209+(E209/P209))/(J85/100)</f>
        <v>166.34614332555674</v>
      </c>
      <c r="R209" s="135">
        <f>M85</f>
        <v>0.39</v>
      </c>
      <c r="S209" s="75">
        <f>Q209*L85*365/A249</f>
        <v>76.372757627456878</v>
      </c>
      <c r="T209" s="2"/>
      <c r="U209" s="169">
        <f>Q209/$A$253/B85</f>
        <v>2.3118079817324264E-2</v>
      </c>
      <c r="V209" s="3" t="str">
        <f t="shared" si="119"/>
        <v xml:space="preserve"> Mature Females</v>
      </c>
      <c r="Y209" s="27"/>
      <c r="AB209" s="302"/>
    </row>
    <row r="210" spans="1:28" x14ac:dyDescent="0.2">
      <c r="A210" s="49" t="str">
        <f t="shared" si="106"/>
        <v>Mature Males</v>
      </c>
      <c r="B210" s="50">
        <f>C210*B86^0.75</f>
        <v>41.447376287412673</v>
      </c>
      <c r="C210" s="50">
        <v>0.37</v>
      </c>
      <c r="D210" s="51">
        <f>IF(D86="Stall fed",0,IF(D86="Large Areas",0.37*B210,0.17*B210))</f>
        <v>7.0460539688601553</v>
      </c>
      <c r="E210" s="52">
        <f>22.02*(B86/(H210*R86))^0.75*C86^1.097</f>
        <v>0</v>
      </c>
      <c r="F210" s="59">
        <f>F86</f>
        <v>0</v>
      </c>
      <c r="G210" s="73"/>
      <c r="H210" s="29">
        <v>1.2</v>
      </c>
      <c r="I210" s="56">
        <f>J210*(1.47+0.4*F86)</f>
        <v>0</v>
      </c>
      <c r="J210" s="14">
        <f>E86</f>
        <v>0</v>
      </c>
      <c r="K210" s="25">
        <f>H86</f>
        <v>0</v>
      </c>
      <c r="L210" s="56">
        <f t="shared" si="92"/>
        <v>0</v>
      </c>
      <c r="M210" s="56">
        <f>0.1*B210*N210</f>
        <v>0</v>
      </c>
      <c r="N210" s="17">
        <f>I86</f>
        <v>0</v>
      </c>
      <c r="O210" s="50">
        <f>1.123-(4.092*10^-3*J86)+(1.126*10^-5*J86^2)-(25.4/J86)</f>
        <v>0.48561160551724136</v>
      </c>
      <c r="P210" s="50">
        <f>1.164-(5.16*10^-3*J86)+(1.308*10^-5*J86^2)-37.4/J86</f>
        <v>0.26389353379310343</v>
      </c>
      <c r="Q210" s="75">
        <f>((B210+D210+I210+L210+M210)/O210+(E210/P210))/(J86/100)</f>
        <v>172.17332032614846</v>
      </c>
      <c r="R210" s="135">
        <f>M86</f>
        <v>0.06</v>
      </c>
      <c r="S210" s="75">
        <f>Q210*L86*365/A249</f>
        <v>79.048128200055601</v>
      </c>
      <c r="T210" s="2"/>
      <c r="U210" s="169">
        <f>Q210/$A$253/B86</f>
        <v>1.7281272741759356E-2</v>
      </c>
      <c r="V210" s="3" t="str">
        <f t="shared" si="119"/>
        <v>Mature Males</v>
      </c>
      <c r="Y210" s="27"/>
      <c r="AB210" s="302"/>
    </row>
    <row r="211" spans="1:28" x14ac:dyDescent="0.2">
      <c r="A211" s="49" t="str">
        <f t="shared" si="106"/>
        <v>Growing/Replacement</v>
      </c>
      <c r="B211" s="50">
        <f>C211*B87^0.75</f>
        <v>20.244678217895256</v>
      </c>
      <c r="C211" s="50">
        <v>0.32200000000000001</v>
      </c>
      <c r="D211" s="51">
        <f>IF(D87="Stall fed",0,IF(D87="Large Areas",0.37*B211,0.17*B211))</f>
        <v>3.4415952970421939</v>
      </c>
      <c r="E211" s="52">
        <f>22.02*(B87/(H211*R87))^0.75*C87^1.097</f>
        <v>4.8871568187095882</v>
      </c>
      <c r="F211" s="59">
        <f>F87</f>
        <v>0</v>
      </c>
      <c r="G211" s="73"/>
      <c r="H211" s="29">
        <v>1.2</v>
      </c>
      <c r="I211" s="56">
        <f>J211*(1.47+0.4*F87)</f>
        <v>0</v>
      </c>
      <c r="J211" s="14">
        <f>E87</f>
        <v>0</v>
      </c>
      <c r="K211" s="25">
        <f>H87</f>
        <v>0</v>
      </c>
      <c r="L211" s="56">
        <f t="shared" si="92"/>
        <v>0</v>
      </c>
      <c r="M211" s="56">
        <f>0.1*B211*N211</f>
        <v>0</v>
      </c>
      <c r="N211" s="17">
        <f>I87</f>
        <v>0</v>
      </c>
      <c r="O211" s="50">
        <f>1.123-(4.092*10^-3*J87)+(1.126*10^-5*J87^2)-(25.4/J87)</f>
        <v>0.49468266666666677</v>
      </c>
      <c r="P211" s="50">
        <f>1.164-(5.16*10^-3*J87)+(1.308*10^-5*J87^2)-37.4/J87</f>
        <v>0.27815466666666655</v>
      </c>
      <c r="Q211" s="75">
        <f>((B211+D211+I211+L211+M211)/O211+(E211/P211))/(J87/100)</f>
        <v>109.08613198359386</v>
      </c>
      <c r="R211" s="135">
        <f>M87</f>
        <v>0.41</v>
      </c>
      <c r="S211" s="75">
        <f>Q211*L87*365/A249</f>
        <v>50.083570030203482</v>
      </c>
      <c r="T211" s="2"/>
      <c r="U211" s="169">
        <f>Q211/$A$253/B87</f>
        <v>2.3650109915142301E-2</v>
      </c>
      <c r="V211" s="3" t="str">
        <f t="shared" si="119"/>
        <v>Growing/Replacement</v>
      </c>
      <c r="Y211" s="27"/>
      <c r="AB211" s="302"/>
    </row>
    <row r="212" spans="1:28" x14ac:dyDescent="0.2">
      <c r="A212" s="49" t="str">
        <f t="shared" si="106"/>
        <v>Calves on forage</v>
      </c>
      <c r="B212" s="50">
        <f>C212*B88^0.75</f>
        <v>10.562040926727384</v>
      </c>
      <c r="C212" s="50">
        <v>0.32200000000000001</v>
      </c>
      <c r="D212" s="51">
        <f>IF(D88="Stall fed",0,IF(D88="Large Areas",0.37*B212,0.17*B212))</f>
        <v>1.7955469575436556</v>
      </c>
      <c r="E212" s="52">
        <f>22.02*(B88/(H212*R88))^0.75*C88^1.097</f>
        <v>6.6106093530967875</v>
      </c>
      <c r="F212" s="59">
        <f>F88</f>
        <v>0</v>
      </c>
      <c r="G212" s="73"/>
      <c r="H212" s="29">
        <v>0.8</v>
      </c>
      <c r="I212" s="56">
        <f>J212*(1.47+0.4*F88)</f>
        <v>0</v>
      </c>
      <c r="J212" s="14">
        <f>E88</f>
        <v>0</v>
      </c>
      <c r="K212" s="25">
        <f>H88</f>
        <v>0</v>
      </c>
      <c r="L212" s="56">
        <f t="shared" si="92"/>
        <v>0</v>
      </c>
      <c r="M212" s="56">
        <f>0.1*B212*N212</f>
        <v>0</v>
      </c>
      <c r="N212" s="17">
        <f>I88</f>
        <v>0</v>
      </c>
      <c r="O212" s="50">
        <f>1.123-(4.092*10^-3*J88)+(1.126*10^-5*J88^2)-(25.4/J88)</f>
        <v>0.49889301737704922</v>
      </c>
      <c r="P212" s="50">
        <f>1.164-(5.16*10^-3*J88)+(1.308*10^-5*J88^2)-37.4/J88</f>
        <v>0.28479592590163927</v>
      </c>
      <c r="Q212" s="75">
        <f>((B212+D212+I212+L212+M212)/O212+(E212/P212))/(J88/100)</f>
        <v>78.658618056845697</v>
      </c>
      <c r="R212" s="135">
        <f>M88</f>
        <v>0.14000000000000001</v>
      </c>
      <c r="S212" s="75">
        <f>Q212*L88*365/A249</f>
        <v>36.113705145595823</v>
      </c>
      <c r="T212" s="2"/>
      <c r="U212" s="169">
        <f>Q212/$A$253/B88</f>
        <v>4.0603235543603414E-2</v>
      </c>
      <c r="V212" s="3" t="str">
        <f t="shared" si="119"/>
        <v>Calves on forage</v>
      </c>
      <c r="Y212" s="27"/>
      <c r="AB212" s="302"/>
    </row>
    <row r="213" spans="1:28" x14ac:dyDescent="0.2">
      <c r="A213" s="76" t="s">
        <v>52</v>
      </c>
      <c r="B213" s="176"/>
      <c r="C213" s="137"/>
      <c r="D213" s="177"/>
      <c r="E213" s="178"/>
      <c r="F213" s="179"/>
      <c r="G213" s="180"/>
      <c r="H213" s="181"/>
      <c r="I213" s="130"/>
      <c r="J213" s="44"/>
      <c r="K213" s="182"/>
      <c r="L213" s="130"/>
      <c r="M213" s="130"/>
      <c r="N213" s="131"/>
      <c r="O213" s="176"/>
      <c r="P213" s="176"/>
      <c r="Q213" s="305">
        <f>SUMPRODUCT(R214:R218,Q214:Q218)</f>
        <v>100.98143995583166</v>
      </c>
      <c r="R213" s="69"/>
      <c r="S213" s="183">
        <f>SUMPRODUCT(R214:R218,S214:S218)</f>
        <v>46.362547904249766</v>
      </c>
      <c r="T213" s="2"/>
      <c r="U213" s="170"/>
      <c r="V213" s="1" t="str">
        <f t="shared" si="119"/>
        <v>Indian Subcontinent</v>
      </c>
      <c r="Z213" s="8"/>
      <c r="AB213" s="302"/>
    </row>
    <row r="214" spans="1:28" x14ac:dyDescent="0.2">
      <c r="A214" s="49" t="str">
        <f t="shared" ref="A214:A229" si="134">A90</f>
        <v xml:space="preserve"> Mature Females</v>
      </c>
      <c r="B214" s="50">
        <f>C214*B90^0.75</f>
        <v>24.477605557437816</v>
      </c>
      <c r="C214" s="50">
        <v>0.38600000000000001</v>
      </c>
      <c r="D214" s="51">
        <f>IF(D90="Stall fed",0,IF(D90="Large Areas",0.37*B214,0.17*B214))</f>
        <v>4.1611929447644291</v>
      </c>
      <c r="E214" s="52">
        <f>22.02*(B90/(H214*R90))^0.75*C90^1.097</f>
        <v>0</v>
      </c>
      <c r="F214" s="59">
        <f>F90</f>
        <v>4.5654794520547943</v>
      </c>
      <c r="G214" s="73">
        <f>G90</f>
        <v>3.2000000000000001E-2</v>
      </c>
      <c r="H214" s="29">
        <v>0.8</v>
      </c>
      <c r="I214" s="56">
        <f>J214*(1.47+0.4*F90)</f>
        <v>5.7552411559392</v>
      </c>
      <c r="J214" s="16">
        <f>E90</f>
        <v>1.7460273972602738</v>
      </c>
      <c r="K214" s="25">
        <f>H90</f>
        <v>0</v>
      </c>
      <c r="L214" s="56">
        <f t="shared" si="92"/>
        <v>0</v>
      </c>
      <c r="M214" s="56">
        <f>0.1*B214*N214</f>
        <v>0.76128706380283317</v>
      </c>
      <c r="N214" s="17">
        <f>I90</f>
        <v>0.311013698630137</v>
      </c>
      <c r="O214" s="50">
        <f>1.123-(4.092*10^-3*J90)+(1.126*10^-5*J90^2)-(25.4/J90)</f>
        <v>0.47176632808618857</v>
      </c>
      <c r="P214" s="50">
        <f>1.164-(5.16*10^-3*J90)+(1.308*10^-5*J90^2)-37.4/J90</f>
        <v>0.24223575683087895</v>
      </c>
      <c r="Q214" s="75">
        <f>((B214+D214+I214+L214+M214)/O214+(E214/P214))/(J90/100)</f>
        <v>134.78324272511401</v>
      </c>
      <c r="R214" s="135">
        <f>M90</f>
        <v>0.219</v>
      </c>
      <c r="S214" s="75">
        <f>Q214*L90*365/A249</f>
        <v>61.881614584486314</v>
      </c>
      <c r="T214" s="2"/>
      <c r="U214" s="169">
        <f>Q214/$A$253/B90</f>
        <v>2.8888879255324844E-2</v>
      </c>
      <c r="V214" s="3" t="str">
        <f t="shared" si="119"/>
        <v xml:space="preserve"> Mature Females</v>
      </c>
      <c r="Y214" s="27"/>
      <c r="AB214" s="302"/>
    </row>
    <row r="215" spans="1:28" x14ac:dyDescent="0.2">
      <c r="A215" s="49" t="str">
        <f t="shared" si="134"/>
        <v xml:space="preserve"> Mature Males</v>
      </c>
      <c r="B215" s="50">
        <f>C215*B91^0.75</f>
        <v>27.262182888079622</v>
      </c>
      <c r="C215" s="50">
        <v>0.37</v>
      </c>
      <c r="D215" s="51">
        <f>IF(D91="Stall fed",0,IF(D91="Large Areas",0.37*B215,0.17*B215))</f>
        <v>4.6345710909735356</v>
      </c>
      <c r="E215" s="52">
        <f>22.02*(B91/(H215*R91))^0.75*C91^1.097</f>
        <v>0</v>
      </c>
      <c r="F215" s="59">
        <f>F91</f>
        <v>0</v>
      </c>
      <c r="G215" s="73"/>
      <c r="H215" s="29">
        <v>1.2</v>
      </c>
      <c r="I215" s="56">
        <f>J215*(1.47+0.4*F91)</f>
        <v>0</v>
      </c>
      <c r="J215" s="14">
        <f>E91</f>
        <v>0</v>
      </c>
      <c r="K215" s="25">
        <f>H91</f>
        <v>0</v>
      </c>
      <c r="L215" s="56">
        <f t="shared" si="92"/>
        <v>0</v>
      </c>
      <c r="M215" s="56">
        <f>0.1*B215*N215</f>
        <v>0</v>
      </c>
      <c r="N215" s="17">
        <f>I91</f>
        <v>0</v>
      </c>
      <c r="O215" s="50">
        <f>1.123-(4.092*10^-3*J91)+(1.126*10^-5*J91^2)-(25.4/J91)</f>
        <v>0.48252255327315424</v>
      </c>
      <c r="P215" s="50">
        <f>1.164-(5.16*10^-3*J91)+(1.308*10^-5*J91^2)-37.4/J91</f>
        <v>0.2590506341977491</v>
      </c>
      <c r="Q215" s="75">
        <f>((B215+D215+I215+L215+M215)/O215+(E215/P215))/(J91/100)</f>
        <v>115.24042863908988</v>
      </c>
      <c r="R215" s="135">
        <f>M91</f>
        <v>3.2600000000000004E-2</v>
      </c>
      <c r="S215" s="75">
        <f>Q215*L91*365/A249</f>
        <v>52.90912761417335</v>
      </c>
      <c r="T215" s="2"/>
      <c r="U215" s="169">
        <f>Q215/$A$253/B91</f>
        <v>2.0220720396973656E-2</v>
      </c>
      <c r="V215" s="3" t="str">
        <f t="shared" si="119"/>
        <v xml:space="preserve"> Mature Males</v>
      </c>
      <c r="Y215" s="27"/>
      <c r="AB215" s="302"/>
    </row>
    <row r="216" spans="1:28" x14ac:dyDescent="0.2">
      <c r="A216" s="49" t="str">
        <f t="shared" si="134"/>
        <v>Draft bullocks</v>
      </c>
      <c r="B216" s="50">
        <f>C216*B92^0.75</f>
        <v>22.628427250468981</v>
      </c>
      <c r="C216" s="50">
        <v>0.32200000000000001</v>
      </c>
      <c r="D216" s="51">
        <f>IF(D92="Stall fed",0,IF(D92="Large Areas",0.37*B216,0.17*B216))</f>
        <v>0</v>
      </c>
      <c r="E216" s="52">
        <f>22.02*(B92/(H216*R92))^0.75*C92^1.097</f>
        <v>0</v>
      </c>
      <c r="F216" s="59">
        <f>F92</f>
        <v>0</v>
      </c>
      <c r="G216" s="73"/>
      <c r="H216" s="29">
        <v>0.8</v>
      </c>
      <c r="I216" s="56">
        <f>J216*(1.47+0.4*F92)</f>
        <v>0</v>
      </c>
      <c r="J216" s="14">
        <f>E92</f>
        <v>0</v>
      </c>
      <c r="K216" s="25">
        <f>H92</f>
        <v>1.7</v>
      </c>
      <c r="L216" s="56">
        <f t="shared" si="92"/>
        <v>3.8468326325797269</v>
      </c>
      <c r="M216" s="56">
        <f>0.1*B216*N216</f>
        <v>0</v>
      </c>
      <c r="N216" s="17">
        <f>I92</f>
        <v>0</v>
      </c>
      <c r="O216" s="50">
        <f>1.123-(4.092*10^-3*J92)+(1.126*10^-5*J92^2)-(25.4/J92)</f>
        <v>0.47018331818181813</v>
      </c>
      <c r="P216" s="50">
        <f>1.164-(5.16*10^-3*J92)+(1.308*10^-5*J92^2)-37.4/J92</f>
        <v>0.23976699999999995</v>
      </c>
      <c r="Q216" s="75">
        <f>((B216+D216+I216+L216+M216)/O216+(E216/P216))/(J92/100)</f>
        <v>102.37886860201898</v>
      </c>
      <c r="R216" s="135">
        <f>M92</f>
        <v>0.43</v>
      </c>
      <c r="S216" s="75">
        <f>Q216*L92*365/A249</f>
        <v>47.004134641178531</v>
      </c>
      <c r="T216" s="2"/>
      <c r="U216" s="169">
        <f>Q216/$A$253/B92</f>
        <v>1.9134448855624521E-2</v>
      </c>
      <c r="V216" s="3" t="str">
        <f t="shared" si="119"/>
        <v>Draft bullocks</v>
      </c>
      <c r="Y216" s="306"/>
      <c r="AB216" s="302"/>
    </row>
    <row r="217" spans="1:28" x14ac:dyDescent="0.2">
      <c r="A217" s="49" t="str">
        <f t="shared" si="134"/>
        <v>Replacement/growing</v>
      </c>
      <c r="B217" s="50">
        <f>C217*B93^0.75</f>
        <v>13.952223878518849</v>
      </c>
      <c r="C217" s="50">
        <v>0.32200000000000001</v>
      </c>
      <c r="D217" s="51">
        <f>IF(D93="Stall fed",0,IF(D93="Large Areas",0.37*B217,0.17*B217))</f>
        <v>2.3718780593482043</v>
      </c>
      <c r="E217" s="52">
        <f>22.02*(B93/(H217*R93))^0.75*C93^1.097</f>
        <v>3.7068212446713322</v>
      </c>
      <c r="F217" s="59">
        <f>F93</f>
        <v>0</v>
      </c>
      <c r="G217" s="73"/>
      <c r="H217" s="29">
        <v>0.8</v>
      </c>
      <c r="I217" s="56">
        <f>J217*(1.47+0.4*F93)</f>
        <v>0</v>
      </c>
      <c r="J217" s="14">
        <f>E93</f>
        <v>0</v>
      </c>
      <c r="K217" s="25">
        <f>H93</f>
        <v>0</v>
      </c>
      <c r="L217" s="56">
        <f t="shared" si="92"/>
        <v>0</v>
      </c>
      <c r="M217" s="56">
        <f>0.1*B217*N217</f>
        <v>0</v>
      </c>
      <c r="N217" s="17">
        <f>I93</f>
        <v>0</v>
      </c>
      <c r="O217" s="50">
        <f>1.123-(4.092*10^-3*J93)+(1.126*10^-5*J93^2)-(25.4/J93)</f>
        <v>0.47831054086816038</v>
      </c>
      <c r="P217" s="50">
        <f>1.164-(5.16*10^-3*J93)+(1.308*10^-5*J93^2)-37.4/J93</f>
        <v>0.25245747508051686</v>
      </c>
      <c r="Q217" s="75">
        <f>((B217+D217+I217+L217+M217)/O217+(E217/P217))/(J93/100)</f>
        <v>86.356131101146602</v>
      </c>
      <c r="R217" s="135">
        <f>M93</f>
        <v>0.1608</v>
      </c>
      <c r="S217" s="75">
        <f>Q217*L93*365/A249</f>
        <v>39.647783461532725</v>
      </c>
      <c r="T217" s="2"/>
      <c r="U217" s="169">
        <f>Q217/$A$253/B93</f>
        <v>3.0754833976653306E-2</v>
      </c>
      <c r="V217" s="3" t="str">
        <f t="shared" si="119"/>
        <v>Replacement/growing</v>
      </c>
      <c r="Y217" s="306"/>
      <c r="AB217" s="302"/>
    </row>
    <row r="218" spans="1:28" x14ac:dyDescent="0.2">
      <c r="A218" s="49" t="str">
        <f t="shared" si="134"/>
        <v>Calves on forage</v>
      </c>
      <c r="B218" s="50">
        <f>C218*B94^0.75</f>
        <v>7.9583089745885989</v>
      </c>
      <c r="C218" s="50">
        <v>0.32200000000000001</v>
      </c>
      <c r="D218" s="51">
        <f>IF(D94="Stall fed",0,IF(D94="Large Areas",0.37*B218,0.17*B218))</f>
        <v>1.3529125256800618</v>
      </c>
      <c r="E218" s="52">
        <f>22.02*(B94/(H218*R94))^0.75*C94^1.097</f>
        <v>4.1168247930311423</v>
      </c>
      <c r="F218" s="59">
        <f>F94</f>
        <v>0</v>
      </c>
      <c r="G218" s="73"/>
      <c r="H218" s="29">
        <v>0.8</v>
      </c>
      <c r="I218" s="56">
        <f>J218*(1.47+0.4*F94)</f>
        <v>0</v>
      </c>
      <c r="J218" s="14">
        <f>E94</f>
        <v>0</v>
      </c>
      <c r="K218" s="25">
        <f>H94</f>
        <v>0</v>
      </c>
      <c r="L218" s="56">
        <f t="shared" si="92"/>
        <v>0</v>
      </c>
      <c r="M218" s="56">
        <f>0.1*B218*N218</f>
        <v>0</v>
      </c>
      <c r="N218" s="17">
        <f>I94</f>
        <v>0</v>
      </c>
      <c r="O218" s="50">
        <f>1.123-(4.092*10^-3*J94)+(1.126*10^-5*J94^2)-(25.4/J94)</f>
        <v>0.48071934756474605</v>
      </c>
      <c r="P218" s="50">
        <f>1.164-(5.16*10^-3*J94)+(1.308*10^-5*J94^2)-37.4/J94</f>
        <v>0.25622661659245649</v>
      </c>
      <c r="Q218" s="75">
        <f>((B218+D218+I218+L218+M218)/O218+(E218/P218))/(J94/100)</f>
        <v>62.170637344319964</v>
      </c>
      <c r="R218" s="135">
        <f>M94</f>
        <v>0.15760000000000002</v>
      </c>
      <c r="S218" s="75">
        <f>Q218*L94*365/A249</f>
        <v>28.543751736700365</v>
      </c>
      <c r="T218" s="2"/>
      <c r="U218" s="169">
        <f>Q218/$A$253/B94</f>
        <v>4.6806092117345779E-2</v>
      </c>
      <c r="V218" s="3" t="str">
        <f t="shared" si="119"/>
        <v>Calves on forage</v>
      </c>
      <c r="Y218" s="306"/>
      <c r="AB218" s="302"/>
    </row>
    <row r="219" spans="1:28" x14ac:dyDescent="0.2">
      <c r="A219" s="188" t="str">
        <f t="shared" si="134"/>
        <v>India_low productivity systems</v>
      </c>
      <c r="B219" s="155"/>
      <c r="C219" s="155"/>
      <c r="D219" s="156"/>
      <c r="E219" s="157"/>
      <c r="F219" s="158"/>
      <c r="G219" s="159"/>
      <c r="H219" s="160"/>
      <c r="I219" s="161"/>
      <c r="J219" s="109"/>
      <c r="K219" s="162"/>
      <c r="L219" s="161"/>
      <c r="M219" s="161"/>
      <c r="N219" s="112"/>
      <c r="O219" s="155"/>
      <c r="P219" s="155"/>
      <c r="Q219" s="165">
        <f>SUMPRODUCT(R220:R224,Q220:Q224)</f>
        <v>102.48647152194845</v>
      </c>
      <c r="R219" s="164"/>
      <c r="S219" s="121">
        <f>SUMPRODUCT(S220:S224,R220:R224)</f>
        <v>47.053537239636711</v>
      </c>
      <c r="T219" s="2"/>
      <c r="U219" s="171"/>
      <c r="V219" s="1" t="str">
        <f t="shared" si="119"/>
        <v>India_low productivity systems</v>
      </c>
      <c r="AB219" s="302"/>
    </row>
    <row r="220" spans="1:28" x14ac:dyDescent="0.2">
      <c r="A220" s="49" t="str">
        <f t="shared" si="134"/>
        <v xml:space="preserve"> Mature Females</v>
      </c>
      <c r="B220" s="50">
        <f>C220*B96^0.75</f>
        <v>24.268465192880647</v>
      </c>
      <c r="C220" s="50">
        <v>0.38600000000000001</v>
      </c>
      <c r="D220" s="51">
        <f>IF(D96="Stall fed",0,IF(D96="Large Areas",0.37*B220,0.17*B220))</f>
        <v>4.1256390827897107</v>
      </c>
      <c r="E220" s="52">
        <f>22.02*(B96/(H220*R96))^0.75*C96^1.097</f>
        <v>0</v>
      </c>
      <c r="F220" s="59">
        <f>F96</f>
        <v>4.5999999999999996</v>
      </c>
      <c r="G220" s="73">
        <f>G96</f>
        <v>3.6999999999999998E-2</v>
      </c>
      <c r="H220" s="29">
        <v>0.8</v>
      </c>
      <c r="I220" s="56">
        <f>J220*(1.47+0.4*F96)</f>
        <v>5.6269999999999989</v>
      </c>
      <c r="J220" s="14">
        <f>E96</f>
        <v>1.7</v>
      </c>
      <c r="K220" s="25">
        <f>H96</f>
        <v>0</v>
      </c>
      <c r="L220" s="56">
        <f t="shared" si="92"/>
        <v>0</v>
      </c>
      <c r="M220" s="56">
        <f>0.1*B220*N220</f>
        <v>0.80085935136506148</v>
      </c>
      <c r="N220" s="17">
        <f>I96</f>
        <v>0.33</v>
      </c>
      <c r="O220" s="50">
        <f>1.123-(4.092*10^-3*J96)+(1.126*10^-5*J96^2)-(25.4/J96)</f>
        <v>0.47018331818181813</v>
      </c>
      <c r="P220" s="50">
        <f>1.164-(5.16*10^-3*J96)+(1.308*10^-5*J96^2)-37.4/J96</f>
        <v>0.23976699999999995</v>
      </c>
      <c r="Q220" s="75">
        <f>((B220+D220+I220+L220+M220)/O220+(E220/P220))/(J96/100)</f>
        <v>134.65526889574082</v>
      </c>
      <c r="R220" s="135">
        <f>M96</f>
        <v>0.24</v>
      </c>
      <c r="S220" s="75">
        <f>Q220*L96*365/A249</f>
        <v>61.822859304333839</v>
      </c>
      <c r="T220" s="2"/>
      <c r="U220" s="169">
        <f>Q220/$A$253/B96</f>
        <v>2.9193554232138933E-2</v>
      </c>
      <c r="V220" s="3" t="str">
        <f t="shared" si="119"/>
        <v xml:space="preserve"> Mature Females</v>
      </c>
      <c r="Y220" s="27"/>
      <c r="AB220" s="302"/>
    </row>
    <row r="221" spans="1:28" x14ac:dyDescent="0.2">
      <c r="A221" s="49" t="str">
        <f t="shared" si="134"/>
        <v xml:space="preserve"> Mature Males</v>
      </c>
      <c r="B221" s="50">
        <f>C221*B97^0.75</f>
        <v>26.001608952402243</v>
      </c>
      <c r="C221" s="50">
        <v>0.37</v>
      </c>
      <c r="D221" s="51">
        <f>IF(D97="Stall fed",0,IF(D97="Large Areas",0.37*B221,0.17*B221))</f>
        <v>4.4202735219083813</v>
      </c>
      <c r="E221" s="52">
        <f>22.02*(B97/(H221*R97))^0.75*C97^1.097</f>
        <v>0</v>
      </c>
      <c r="F221" s="59">
        <f>F97</f>
        <v>0</v>
      </c>
      <c r="G221" s="73"/>
      <c r="H221" s="29">
        <v>1.2</v>
      </c>
      <c r="I221" s="56">
        <f>J221*(1.47+0.4*F97)</f>
        <v>0</v>
      </c>
      <c r="J221" s="14">
        <f>E97</f>
        <v>0</v>
      </c>
      <c r="K221" s="25">
        <f>H97</f>
        <v>0</v>
      </c>
      <c r="L221" s="56">
        <f t="shared" si="92"/>
        <v>0</v>
      </c>
      <c r="M221" s="56">
        <f>0.1*B221*N221</f>
        <v>0</v>
      </c>
      <c r="N221" s="17">
        <f>I97</f>
        <v>0</v>
      </c>
      <c r="O221" s="50">
        <f>1.123-(4.092*10^-3*J97)+(1.126*10^-5*J97^2)-(25.4/J97)</f>
        <v>0.47018331818181813</v>
      </c>
      <c r="P221" s="50">
        <f>1.164-(5.16*10^-3*J97)+(1.308*10^-5*J97^2)-37.4/J97</f>
        <v>0.23976699999999995</v>
      </c>
      <c r="Q221" s="75">
        <f>((B221+D221+I221+L221+M221)/O221+(E221/P221))/(J97/100)</f>
        <v>117.64031485325162</v>
      </c>
      <c r="R221" s="135">
        <f>M97</f>
        <v>0.02</v>
      </c>
      <c r="S221" s="75">
        <f>Q221*L97*365/A249</f>
        <v>54.010962165329374</v>
      </c>
      <c r="T221" s="2"/>
      <c r="U221" s="169">
        <f>Q221/$A$253/B97</f>
        <v>2.1986789057705191E-2</v>
      </c>
      <c r="V221" s="3" t="str">
        <f t="shared" si="119"/>
        <v xml:space="preserve"> Mature Males</v>
      </c>
      <c r="Y221" s="27"/>
      <c r="AB221" s="302"/>
    </row>
    <row r="222" spans="1:28" x14ac:dyDescent="0.2">
      <c r="A222" s="49" t="str">
        <f t="shared" si="134"/>
        <v>Draft bullocks</v>
      </c>
      <c r="B222" s="50">
        <f>C222*B98^0.75</f>
        <v>22.628427250468981</v>
      </c>
      <c r="C222" s="50">
        <v>0.32200000000000001</v>
      </c>
      <c r="D222" s="51">
        <f>IF(D98="Stall fed",0,IF(D98="Large Areas",0.37*B222,0.17*B222))</f>
        <v>0</v>
      </c>
      <c r="E222" s="52">
        <f>22.02*(B98/(H222*R98))^0.75*C98^1.097</f>
        <v>0</v>
      </c>
      <c r="F222" s="59">
        <f>F98</f>
        <v>0</v>
      </c>
      <c r="G222" s="73"/>
      <c r="H222" s="29">
        <v>0.8</v>
      </c>
      <c r="I222" s="56">
        <f>J222*(1.47+0.4*F98)</f>
        <v>0</v>
      </c>
      <c r="J222" s="14">
        <f>E98</f>
        <v>0</v>
      </c>
      <c r="K222" s="25">
        <f>H98</f>
        <v>1.7</v>
      </c>
      <c r="L222" s="56">
        <f t="shared" si="92"/>
        <v>3.8468326325797269</v>
      </c>
      <c r="M222" s="56">
        <f>0.1*B222*N222</f>
        <v>0</v>
      </c>
      <c r="N222" s="17">
        <f>I98</f>
        <v>0</v>
      </c>
      <c r="O222" s="50">
        <f>1.123-(4.092*10^-3*J98)+(1.126*10^-5*J98^2)-(25.4/J98)</f>
        <v>0.47018331818181813</v>
      </c>
      <c r="P222" s="50">
        <f>1.164-(5.16*10^-3*J98)+(1.308*10^-5*J98^2)-37.4/J98</f>
        <v>0.23976699999999995</v>
      </c>
      <c r="Q222" s="75">
        <f>((B222+D222+I222+L222+M222)/O222+(E222/P222))/(J98/100)</f>
        <v>102.37886860201898</v>
      </c>
      <c r="R222" s="135">
        <f>M98</f>
        <v>0.5</v>
      </c>
      <c r="S222" s="75">
        <f>Q222*L98*365/A249</f>
        <v>47.004134641178531</v>
      </c>
      <c r="T222" s="2"/>
      <c r="U222" s="169">
        <f>Q222/$A$253/B98</f>
        <v>1.9134448855624521E-2</v>
      </c>
      <c r="V222" s="3" t="str">
        <f t="shared" si="119"/>
        <v>Draft bullocks</v>
      </c>
      <c r="Y222" s="27"/>
      <c r="AB222" s="302"/>
    </row>
    <row r="223" spans="1:28" x14ac:dyDescent="0.2">
      <c r="A223" s="49" t="str">
        <f t="shared" si="134"/>
        <v>Replacement/growing</v>
      </c>
      <c r="B223" s="50">
        <f>C223*B99^0.75</f>
        <v>13.10544881126366</v>
      </c>
      <c r="C223" s="50">
        <v>0.32200000000000001</v>
      </c>
      <c r="D223" s="51">
        <f>IF(D99="Stall fed",0,IF(D99="Large Areas",0.37*B223,0.17*B223))</f>
        <v>2.2279262979148222</v>
      </c>
      <c r="E223" s="52">
        <f>22.02*(B99/(H223*R99))^0.75*C99^1.097</f>
        <v>2.6903797378823229</v>
      </c>
      <c r="F223" s="59">
        <f>F99</f>
        <v>0</v>
      </c>
      <c r="G223" s="73"/>
      <c r="H223" s="29">
        <v>0.8</v>
      </c>
      <c r="I223" s="56">
        <f>J223*(1.47+0.4*F99)</f>
        <v>0</v>
      </c>
      <c r="J223" s="14">
        <f>E99</f>
        <v>0</v>
      </c>
      <c r="K223" s="25">
        <f>H99</f>
        <v>0</v>
      </c>
      <c r="L223" s="56">
        <f t="shared" si="92"/>
        <v>0</v>
      </c>
      <c r="M223" s="56">
        <f>0.1*B223*N223</f>
        <v>0</v>
      </c>
      <c r="N223" s="17">
        <f>I99</f>
        <v>0</v>
      </c>
      <c r="O223" s="50">
        <f>1.123-(4.092*10^-3*J99)+(1.126*10^-5*J99^2)-(25.4/J99)</f>
        <v>0.47018331818181813</v>
      </c>
      <c r="P223" s="50">
        <f>1.164-(5.16*10^-3*J99)+(1.308*10^-5*J99^2)-37.4/J99</f>
        <v>0.23976699999999995</v>
      </c>
      <c r="Q223" s="75">
        <f>((B223+D223+I223+L223+M223)/O223+(E223/P223))/(J99/100)</f>
        <v>79.695075873067196</v>
      </c>
      <c r="R223" s="135">
        <f>M99</f>
        <v>0.13</v>
      </c>
      <c r="S223" s="75">
        <f>Q223*L99*365/A249</f>
        <v>36.589563136691233</v>
      </c>
      <c r="T223" s="2"/>
      <c r="U223" s="169">
        <f>Q223/$A$253/B99</f>
        <v>3.0853687910595121E-2</v>
      </c>
      <c r="V223" s="3" t="str">
        <f t="shared" si="119"/>
        <v>Replacement/growing</v>
      </c>
      <c r="Y223" s="27"/>
      <c r="AB223" s="302"/>
    </row>
    <row r="224" spans="1:28" x14ac:dyDescent="0.2">
      <c r="A224" s="49" t="str">
        <f t="shared" si="134"/>
        <v>Calves on forage</v>
      </c>
      <c r="B224" s="50">
        <f>C224*B100^0.75</f>
        <v>6.9417554431267838</v>
      </c>
      <c r="C224" s="50">
        <v>0.32200000000000001</v>
      </c>
      <c r="D224" s="51">
        <f>IF(D100="Stall fed",0,IF(D100="Large Areas",0.37*B224,0.17*B224))</f>
        <v>1.1800984253315534</v>
      </c>
      <c r="E224" s="52">
        <f>22.02*(B100/(H224*R100))^0.75*C100^1.097</f>
        <v>3.3709393832530443</v>
      </c>
      <c r="F224" s="59">
        <f>F100</f>
        <v>0</v>
      </c>
      <c r="G224" s="73"/>
      <c r="H224" s="29">
        <v>0.8</v>
      </c>
      <c r="I224" s="56">
        <f>J224*(1.47+0.4*F100)</f>
        <v>0</v>
      </c>
      <c r="J224" s="14">
        <f>E100</f>
        <v>0</v>
      </c>
      <c r="K224" s="25">
        <f>H100</f>
        <v>0</v>
      </c>
      <c r="L224" s="56">
        <f t="shared" si="92"/>
        <v>0</v>
      </c>
      <c r="M224" s="56">
        <f>0.1*B224*N224</f>
        <v>0</v>
      </c>
      <c r="N224" s="17">
        <f>I100</f>
        <v>0</v>
      </c>
      <c r="O224" s="50">
        <f>1.123-(4.092*10^-3*J100)+(1.126*10^-5*J100^2)-(25.4/J100)</f>
        <v>0.47018331818181813</v>
      </c>
      <c r="P224" s="50">
        <f>1.164-(5.16*10^-3*J100)+(1.308*10^-5*J100^2)-37.4/J100</f>
        <v>0.23976699999999995</v>
      </c>
      <c r="Q224" s="75">
        <f>((B224+D224+I224+L224+M224)/O224+(E224/P224))/(J100/100)</f>
        <v>56.969150230885369</v>
      </c>
      <c r="R224" s="135">
        <f>M100</f>
        <v>0.11</v>
      </c>
      <c r="S224" s="75">
        <f>Q224*L100*365/A249</f>
        <v>26.155647590280708</v>
      </c>
      <c r="T224" s="2"/>
      <c r="U224" s="169">
        <f>Q224/$A$253/B100</f>
        <v>5.1462647001703131E-2</v>
      </c>
      <c r="V224" s="3" t="str">
        <f t="shared" si="119"/>
        <v>Calves on forage</v>
      </c>
      <c r="Y224" s="27"/>
      <c r="AB224" s="302"/>
    </row>
    <row r="225" spans="1:28" x14ac:dyDescent="0.2">
      <c r="A225" s="188" t="str">
        <f t="shared" si="134"/>
        <v>India_high productivity systems</v>
      </c>
      <c r="B225" s="155"/>
      <c r="C225" s="155"/>
      <c r="D225" s="156"/>
      <c r="E225" s="157"/>
      <c r="F225" s="158"/>
      <c r="G225" s="159"/>
      <c r="H225" s="160"/>
      <c r="I225" s="161"/>
      <c r="J225" s="109"/>
      <c r="K225" s="162"/>
      <c r="L225" s="161"/>
      <c r="M225" s="161"/>
      <c r="N225" s="112"/>
      <c r="O225" s="155"/>
      <c r="P225" s="155"/>
      <c r="Q225" s="165">
        <f>SUMPRODUCT(R226:R229,Q226:Q229)</f>
        <v>90.306037503398429</v>
      </c>
      <c r="R225" s="164"/>
      <c r="S225" s="121">
        <f>SUMPRODUCT(S226:S229,R226:R229)</f>
        <v>41.461262501560284</v>
      </c>
      <c r="T225" s="2"/>
      <c r="U225" s="171"/>
      <c r="V225" s="1" t="str">
        <f t="shared" si="119"/>
        <v>India_high productivity systems</v>
      </c>
      <c r="AB225" s="302"/>
    </row>
    <row r="226" spans="1:28" x14ac:dyDescent="0.2">
      <c r="A226" s="49" t="str">
        <f t="shared" si="134"/>
        <v xml:space="preserve"> Mature Females</v>
      </c>
      <c r="B226" s="50">
        <f>C226*B102^0.75</f>
        <v>27.824556175680453</v>
      </c>
      <c r="C226" s="50">
        <v>0.38600000000000001</v>
      </c>
      <c r="D226" s="51">
        <f>IF(D102="Stall fed",0,IF(D102="Large Areas",0.37*B226,0.17*B226))</f>
        <v>4.7301745498656773</v>
      </c>
      <c r="E226" s="52">
        <f>22.02*(B102/(H226*R102))^0.75*C102^1.097</f>
        <v>0</v>
      </c>
      <c r="F226" s="59">
        <f>F102</f>
        <v>4</v>
      </c>
      <c r="G226" s="73">
        <f>G102</f>
        <v>3.6999999999999998E-2</v>
      </c>
      <c r="H226" s="29">
        <v>0.8</v>
      </c>
      <c r="I226" s="56">
        <f t="shared" ref="I226:I234" si="135">J226*(1.47+0.4*F102)</f>
        <v>7.6750000000000007</v>
      </c>
      <c r="J226" s="14">
        <f t="shared" ref="J226:J234" si="136">E102</f>
        <v>2.5</v>
      </c>
      <c r="K226" s="25">
        <f t="shared" ref="K226:K231" si="137">H102</f>
        <v>0</v>
      </c>
      <c r="L226" s="56">
        <f t="shared" si="92"/>
        <v>0</v>
      </c>
      <c r="M226" s="56">
        <f t="shared" ref="M226:M234" si="138">0.1*B226*N226</f>
        <v>1.1129822470272182</v>
      </c>
      <c r="N226" s="17">
        <f>I102</f>
        <v>0.4</v>
      </c>
      <c r="O226" s="50">
        <f>1.123-(4.092*10^-3*J102)+(1.126*10^-5*J102^2)-(25.4/J102)</f>
        <v>0.49468266666666677</v>
      </c>
      <c r="P226" s="50">
        <f>1.164-(5.16*10^-3*J102)+(1.308*10^-5*J102^2)-37.4/J102</f>
        <v>0.27815466666666655</v>
      </c>
      <c r="Q226" s="75">
        <f>((B226+D226+I226+L226+M226)/O226+(E226/P226))/(J102/100)</f>
        <v>139.29034968064829</v>
      </c>
      <c r="R226" s="135">
        <f>M102</f>
        <v>0.09</v>
      </c>
      <c r="S226" s="75">
        <f>Q226*L102*365/A249</f>
        <v>63.950915262184445</v>
      </c>
      <c r="T226" s="2"/>
      <c r="U226" s="169">
        <f>Q226/$A$253/B102</f>
        <v>2.5165374829385422E-2</v>
      </c>
      <c r="V226" s="3" t="str">
        <f t="shared" si="119"/>
        <v xml:space="preserve"> Mature Females</v>
      </c>
      <c r="Y226" s="27"/>
      <c r="AB226" s="302"/>
    </row>
    <row r="227" spans="1:28" x14ac:dyDescent="0.2">
      <c r="A227" s="49" t="str">
        <f t="shared" si="134"/>
        <v xml:space="preserve"> Mature Males</v>
      </c>
      <c r="B227" s="50">
        <f>C227*B103^0.75</f>
        <v>28.647529741364675</v>
      </c>
      <c r="C227" s="50">
        <v>0.37</v>
      </c>
      <c r="D227" s="51">
        <f>IF(D103="Stall fed",0,IF(D103="Large Areas",0.37*B227,0.17*B227))</f>
        <v>4.8700800560319948</v>
      </c>
      <c r="E227" s="52">
        <f>22.02*(B103/(H227*R103))^0.75*C103^1.097</f>
        <v>0</v>
      </c>
      <c r="F227" s="59">
        <f t="shared" ref="F227:F234" si="139">F103</f>
        <v>0</v>
      </c>
      <c r="G227" s="73"/>
      <c r="H227" s="29">
        <v>1.2</v>
      </c>
      <c r="I227" s="56">
        <f t="shared" si="135"/>
        <v>0</v>
      </c>
      <c r="J227" s="14">
        <f t="shared" si="136"/>
        <v>0</v>
      </c>
      <c r="K227" s="25">
        <f t="shared" si="137"/>
        <v>0</v>
      </c>
      <c r="L227" s="56">
        <f t="shared" si="92"/>
        <v>0</v>
      </c>
      <c r="M227" s="56">
        <f t="shared" si="138"/>
        <v>0</v>
      </c>
      <c r="N227" s="17">
        <f>I103</f>
        <v>0</v>
      </c>
      <c r="O227" s="50">
        <f>1.123-(4.092*10^-3*J103)+(1.126*10^-5*J103^2)-(25.4/J103)</f>
        <v>0.49468266666666677</v>
      </c>
      <c r="P227" s="50">
        <f>1.164-(5.16*10^-3*J103)+(1.308*10^-5*J103^2)-37.4/J103</f>
        <v>0.27815466666666655</v>
      </c>
      <c r="Q227" s="75">
        <f>((B227+D227+I227+L227+M227)/O227+(E227/P227))/(J103/100)</f>
        <v>112.9262995448822</v>
      </c>
      <c r="R227" s="135">
        <f>M103</f>
        <v>0.11</v>
      </c>
      <c r="S227" s="75">
        <f>Q227*L103*365/A249</f>
        <v>51.846665828782399</v>
      </c>
      <c r="T227" s="2"/>
      <c r="U227" s="169">
        <f>Q227/$A$253/B103</f>
        <v>1.854747467272435E-2</v>
      </c>
      <c r="V227" s="3" t="str">
        <f t="shared" si="119"/>
        <v xml:space="preserve"> Mature Males</v>
      </c>
      <c r="Y227" s="27"/>
      <c r="AB227" s="302"/>
    </row>
    <row r="228" spans="1:28" x14ac:dyDescent="0.2">
      <c r="A228" s="49" t="str">
        <f t="shared" si="134"/>
        <v>Replacement/growing</v>
      </c>
      <c r="B228" s="50">
        <f>C228*B104^0.75</f>
        <v>15.823780520261751</v>
      </c>
      <c r="C228" s="50">
        <v>0.32200000000000001</v>
      </c>
      <c r="D228" s="51">
        <f>IF(D104="Stall fed",0,IF(D104="Large Areas",0.37*B228,0.17*B228))</f>
        <v>2.6900426884444979</v>
      </c>
      <c r="E228" s="52">
        <f>22.02*(B104/(H228*R104))^0.75*C104^1.097</f>
        <v>6.0298844344199587</v>
      </c>
      <c r="F228" s="59">
        <f t="shared" si="139"/>
        <v>0</v>
      </c>
      <c r="G228" s="73"/>
      <c r="H228" s="29">
        <v>0.8</v>
      </c>
      <c r="I228" s="56">
        <f t="shared" si="135"/>
        <v>0</v>
      </c>
      <c r="J228" s="14">
        <f t="shared" si="136"/>
        <v>0</v>
      </c>
      <c r="K228" s="25">
        <f t="shared" si="137"/>
        <v>0</v>
      </c>
      <c r="L228" s="56">
        <f t="shared" si="92"/>
        <v>0</v>
      </c>
      <c r="M228" s="56">
        <f t="shared" si="138"/>
        <v>0</v>
      </c>
      <c r="N228" s="17">
        <f>I104</f>
        <v>0</v>
      </c>
      <c r="O228" s="50">
        <f>1.123-(4.092*10^-3*J104)+(1.126*10^-5*J104^2)-(25.4/J104)</f>
        <v>0.49468266666666677</v>
      </c>
      <c r="P228" s="50">
        <f>1.164-(5.16*10^-3*J104)+(1.308*10^-5*J104^2)-37.4/J104</f>
        <v>0.27815466666666655</v>
      </c>
      <c r="Q228" s="75">
        <f>((B228+D228+I228+L228+M228)/O228+(E228/P228))/(J104/100)</f>
        <v>98.506378021678032</v>
      </c>
      <c r="R228" s="135">
        <f>M104</f>
        <v>0.35</v>
      </c>
      <c r="S228" s="75">
        <f>Q228*L104*365/A249</f>
        <v>45.226198714355327</v>
      </c>
      <c r="T228" s="2"/>
      <c r="U228" s="169">
        <f>Q228/$A$253/B104</f>
        <v>2.9661661554254148E-2</v>
      </c>
      <c r="V228" s="3" t="str">
        <f t="shared" si="119"/>
        <v>Replacement/growing</v>
      </c>
      <c r="Y228" s="27"/>
      <c r="AB228" s="302"/>
    </row>
    <row r="229" spans="1:28" x14ac:dyDescent="0.2">
      <c r="A229" s="49" t="str">
        <f t="shared" si="134"/>
        <v>Calves on forage</v>
      </c>
      <c r="B229" s="50">
        <f>C229*B105^0.75</f>
        <v>9.4088761904683675</v>
      </c>
      <c r="C229" s="50">
        <v>0.32200000000000001</v>
      </c>
      <c r="D229" s="51">
        <f>IF(D105="Stall fed",0,IF(D105="Large Areas",0.37*B229,0.17*B229))</f>
        <v>1.5995089523796227</v>
      </c>
      <c r="E229" s="52">
        <f>22.02*(B105/(H229*R105))^0.75*C105^1.097</f>
        <v>5.259240779614518</v>
      </c>
      <c r="F229" s="59">
        <f t="shared" si="139"/>
        <v>0</v>
      </c>
      <c r="G229" s="73"/>
      <c r="H229" s="29">
        <v>0.8</v>
      </c>
      <c r="I229" s="56">
        <f t="shared" si="135"/>
        <v>0</v>
      </c>
      <c r="J229" s="14">
        <f t="shared" si="136"/>
        <v>0</v>
      </c>
      <c r="K229" s="25">
        <f t="shared" si="137"/>
        <v>0</v>
      </c>
      <c r="L229" s="56">
        <f t="shared" si="92"/>
        <v>0</v>
      </c>
      <c r="M229" s="56">
        <f t="shared" si="138"/>
        <v>0</v>
      </c>
      <c r="N229" s="17">
        <f>I105</f>
        <v>0</v>
      </c>
      <c r="O229" s="50">
        <f>1.123-(4.092*10^-3*J105)+(1.126*10^-5*J105^2)-(25.4/J105)</f>
        <v>0.49468266666666677</v>
      </c>
      <c r="P229" s="50">
        <f>1.164-(5.16*10^-3*J105)+(1.308*10^-5*J105^2)-37.4/J105</f>
        <v>0.27815466666666655</v>
      </c>
      <c r="Q229" s="75">
        <f>((B229+D229+I229+L229+M229)/O229+(E229/P229))/(J105/100)</f>
        <v>68.601735054701621</v>
      </c>
      <c r="R229" s="135">
        <f>M105</f>
        <v>0.45</v>
      </c>
      <c r="S229" s="75">
        <f>Q229*L105*365/A249</f>
        <v>31.496394081718353</v>
      </c>
      <c r="T229" s="2"/>
      <c r="U229" s="169">
        <f>Q229/$A$253/B105</f>
        <v>4.131390247196725E-2</v>
      </c>
      <c r="V229" s="3" t="str">
        <f t="shared" si="119"/>
        <v>Calves on forage</v>
      </c>
      <c r="Y229" s="27"/>
      <c r="AB229" s="302"/>
    </row>
    <row r="230" spans="1:28" x14ac:dyDescent="0.2">
      <c r="A230" s="76" t="s">
        <v>54</v>
      </c>
      <c r="B230" s="176"/>
      <c r="C230" s="137"/>
      <c r="D230" s="177"/>
      <c r="E230" s="178"/>
      <c r="F230" s="179">
        <f t="shared" si="139"/>
        <v>0</v>
      </c>
      <c r="G230" s="180"/>
      <c r="H230" s="181"/>
      <c r="I230" s="130">
        <f t="shared" si="135"/>
        <v>0</v>
      </c>
      <c r="J230" s="44">
        <f t="shared" si="136"/>
        <v>0</v>
      </c>
      <c r="K230" s="182">
        <f t="shared" si="137"/>
        <v>0</v>
      </c>
      <c r="L230" s="130">
        <f t="shared" si="92"/>
        <v>0</v>
      </c>
      <c r="M230" s="130">
        <f t="shared" si="138"/>
        <v>0</v>
      </c>
      <c r="N230" s="131"/>
      <c r="O230" s="176"/>
      <c r="P230" s="176"/>
      <c r="Q230" s="305">
        <f>SUMPRODUCT(R231:R234,Q231:Q234)</f>
        <v>130.12230476576673</v>
      </c>
      <c r="R230" s="69"/>
      <c r="S230" s="183">
        <f>SUMPRODUCT(R231:R234,S231:S234)</f>
        <v>59.741687093716806</v>
      </c>
      <c r="T230" s="2"/>
      <c r="U230" s="170"/>
      <c r="V230" s="1" t="str">
        <f t="shared" si="119"/>
        <v>Middle East</v>
      </c>
      <c r="Z230" s="8"/>
      <c r="AB230" s="302"/>
    </row>
    <row r="231" spans="1:28" x14ac:dyDescent="0.2">
      <c r="A231" s="49" t="str">
        <f>A226</f>
        <v xml:space="preserve"> Mature Females</v>
      </c>
      <c r="B231" s="50">
        <f>C231*B107^0.75</f>
        <v>32.697472655366447</v>
      </c>
      <c r="C231" s="50">
        <v>0.38600000000000001</v>
      </c>
      <c r="D231" s="51">
        <f>IF(D107="Stall fed",0,IF(D107="Large Areas",0.37*B231,0.17*B231))</f>
        <v>5.5585703514122962</v>
      </c>
      <c r="E231" s="52">
        <f>22.02*(B107/(H231*R107))^0.75*C107^1.097</f>
        <v>0</v>
      </c>
      <c r="F231" s="59">
        <f t="shared" si="139"/>
        <v>3.7258426966292131</v>
      </c>
      <c r="G231" s="73">
        <f>G107</f>
        <v>3.2000000000000001E-2</v>
      </c>
      <c r="H231" s="29">
        <v>0.8</v>
      </c>
      <c r="I231" s="56">
        <f t="shared" si="135"/>
        <v>7.174659638934477</v>
      </c>
      <c r="J231" s="16">
        <f t="shared" si="136"/>
        <v>2.4235955056179774</v>
      </c>
      <c r="K231" s="25">
        <f t="shared" si="137"/>
        <v>0</v>
      </c>
      <c r="L231" s="56">
        <f t="shared" si="92"/>
        <v>0</v>
      </c>
      <c r="M231" s="56">
        <f t="shared" si="138"/>
        <v>1.6752862394210224</v>
      </c>
      <c r="N231" s="17">
        <f>I107</f>
        <v>0.51235955056179772</v>
      </c>
      <c r="O231" s="50">
        <f>1.123-(4.092*10^-3*J107)+(1.126*10^-5*J107^2)-(25.4/J107)</f>
        <v>0.49985670416231848</v>
      </c>
      <c r="P231" s="50">
        <f>1.164-(5.16*10^-3*J107)+(1.308*10^-5*J107^2)-37.4/J107</f>
        <v>0.28631811419881414</v>
      </c>
      <c r="Q231" s="75">
        <f>((B231+D231+I231+L231+M231)/O231+(E231/P231))/(J107/100)</f>
        <v>153.89485767415286</v>
      </c>
      <c r="R231" s="135">
        <f>M107</f>
        <v>0.26700000000000002</v>
      </c>
      <c r="S231" s="75">
        <f>Q231*L107*365/A249</f>
        <v>70.656129623982139</v>
      </c>
      <c r="T231" s="2"/>
      <c r="U231" s="169">
        <f>Q231/$A$253/B107</f>
        <v>2.2421185083145868E-2</v>
      </c>
      <c r="V231" s="3" t="str">
        <f t="shared" si="119"/>
        <v xml:space="preserve"> Mature Females</v>
      </c>
      <c r="Y231" s="27"/>
      <c r="AB231" s="302"/>
    </row>
    <row r="232" spans="1:28" x14ac:dyDescent="0.2">
      <c r="A232" s="49" t="str">
        <f>A227</f>
        <v xml:space="preserve"> Mature Males</v>
      </c>
      <c r="B232" s="50">
        <f>C232*B108^0.75</f>
        <v>40.213363308778995</v>
      </c>
      <c r="C232" s="50">
        <v>0.37</v>
      </c>
      <c r="D232" s="51">
        <f>IF(D108="Stall fed",0,IF(D108="Large Areas",0.37*B232,0.17*B232))</f>
        <v>6.8362717624924292</v>
      </c>
      <c r="E232" s="52">
        <f>22.02*(B108/(H232*R108))^0.75*C108^1.097</f>
        <v>0</v>
      </c>
      <c r="F232" s="59">
        <f t="shared" si="139"/>
        <v>0</v>
      </c>
      <c r="G232" s="73"/>
      <c r="H232" s="29">
        <v>1.2</v>
      </c>
      <c r="I232" s="56">
        <f t="shared" si="135"/>
        <v>0</v>
      </c>
      <c r="J232" s="14">
        <f t="shared" si="136"/>
        <v>0</v>
      </c>
      <c r="K232" s="24"/>
      <c r="L232" s="56">
        <f t="shared" si="92"/>
        <v>0</v>
      </c>
      <c r="M232" s="56">
        <f t="shared" si="138"/>
        <v>0</v>
      </c>
      <c r="N232" s="17">
        <f>I108</f>
        <v>0</v>
      </c>
      <c r="O232" s="50">
        <f>1.123-(4.092*10^-3*J108)+(1.126*10^-5*J108^2)-(25.4/J108)</f>
        <v>0.48871633273754311</v>
      </c>
      <c r="P232" s="50">
        <f>1.164-(5.16*10^-3*J108)+(1.308*10^-5*J108^2)-37.4/J108</f>
        <v>0.26876775537673248</v>
      </c>
      <c r="Q232" s="75">
        <f>((B232+D232+I232+L232+M232)/O232+(E232/P232))/(J108/100)</f>
        <v>164.11163555523405</v>
      </c>
      <c r="R232" s="135">
        <f>M108</f>
        <v>8.6500000000000007E-2</v>
      </c>
      <c r="S232" s="75">
        <f>Q232*L108*365/A249</f>
        <v>75.346851544226951</v>
      </c>
      <c r="T232" s="2"/>
      <c r="U232" s="169">
        <f>Q232/$A$253/B108</f>
        <v>1.7149499054861354E-2</v>
      </c>
      <c r="V232" s="3" t="str">
        <f t="shared" si="119"/>
        <v xml:space="preserve"> Mature Males</v>
      </c>
      <c r="Y232" s="27"/>
      <c r="AB232" s="302"/>
    </row>
    <row r="233" spans="1:28" x14ac:dyDescent="0.2">
      <c r="A233" s="49" t="str">
        <f>A228</f>
        <v>Replacement/growing</v>
      </c>
      <c r="B233" s="50">
        <f>C233*B109^0.75</f>
        <v>20.214303602480491</v>
      </c>
      <c r="C233" s="50">
        <v>0.32200000000000001</v>
      </c>
      <c r="D233" s="51">
        <f>IF(D109="Stall fed",0,IF(D109="Large Areas",0.37*B233,0.17*B233))</f>
        <v>3.4364316124216838</v>
      </c>
      <c r="E233" s="52">
        <f>22.02*(B109/(H233*R109))^0.75*C109^1.097</f>
        <v>5.9570218937804675</v>
      </c>
      <c r="F233" s="59">
        <f t="shared" si="139"/>
        <v>0</v>
      </c>
      <c r="G233" s="73"/>
      <c r="H233" s="29">
        <v>0.8</v>
      </c>
      <c r="I233" s="56">
        <f t="shared" si="135"/>
        <v>0</v>
      </c>
      <c r="J233" s="14">
        <f t="shared" si="136"/>
        <v>0</v>
      </c>
      <c r="K233" s="25">
        <f>H109</f>
        <v>0</v>
      </c>
      <c r="L233" s="56">
        <f t="shared" si="92"/>
        <v>0</v>
      </c>
      <c r="M233" s="56">
        <f t="shared" si="138"/>
        <v>0</v>
      </c>
      <c r="N233" s="17">
        <f>I109</f>
        <v>0</v>
      </c>
      <c r="O233" s="50">
        <f>1.123-(4.092*10^-3*J109)+(1.126*10^-5*J109^2)-(25.4/J109)</f>
        <v>0.48388079767101738</v>
      </c>
      <c r="P233" s="50">
        <f>1.164-(5.16*10^-3*J109)+(1.308*10^-5*J109^2)-37.4/J109</f>
        <v>0.26117923253593878</v>
      </c>
      <c r="Q233" s="75">
        <f>((B233+D233+I233+L233+M233)/O233+(E233/P233))/(J109/100)</f>
        <v>124.36739959287011</v>
      </c>
      <c r="R233" s="135">
        <f>M109</f>
        <v>0.42</v>
      </c>
      <c r="S233" s="75">
        <f>Q233*L109*365/A249</f>
        <v>57.099497926286276</v>
      </c>
      <c r="T233" s="2"/>
      <c r="U233" s="169">
        <f>Q233/$A$253/B109</f>
        <v>2.7017156175303477E-2</v>
      </c>
      <c r="V233" s="3" t="str">
        <f t="shared" si="119"/>
        <v>Replacement/growing</v>
      </c>
      <c r="Y233" s="306"/>
      <c r="AB233" s="302"/>
    </row>
    <row r="234" spans="1:28" x14ac:dyDescent="0.2">
      <c r="A234" s="49" t="str">
        <f>A229</f>
        <v>Calves on forage</v>
      </c>
      <c r="B234" s="50">
        <f>C234*B110^0.75</f>
        <v>11.330287966215593</v>
      </c>
      <c r="C234" s="50">
        <v>0.32200000000000001</v>
      </c>
      <c r="D234" s="51">
        <f>IF(D110="Stall fed",0,IF(D110="Large Areas",0.37*B234,0.17*B234))</f>
        <v>1.926148954256651</v>
      </c>
      <c r="E234" s="52">
        <f>22.02*(B110/(H234*R110))^0.75*C110^1.097</f>
        <v>8.0869280415343479</v>
      </c>
      <c r="F234" s="59">
        <f t="shared" si="139"/>
        <v>0</v>
      </c>
      <c r="G234" s="73"/>
      <c r="H234" s="29">
        <v>0.8</v>
      </c>
      <c r="I234" s="56">
        <f t="shared" si="135"/>
        <v>0</v>
      </c>
      <c r="J234" s="14">
        <f t="shared" si="136"/>
        <v>0</v>
      </c>
      <c r="K234" s="25">
        <f>H110</f>
        <v>0</v>
      </c>
      <c r="L234" s="56">
        <f t="shared" si="92"/>
        <v>0</v>
      </c>
      <c r="M234" s="56">
        <f t="shared" si="138"/>
        <v>0</v>
      </c>
      <c r="N234" s="17">
        <f>I110</f>
        <v>0</v>
      </c>
      <c r="O234" s="50">
        <f>1.123-(4.092*10^-3*J110)+(1.126*10^-5*J110^2)-(25.4/J110)</f>
        <v>0.48575664486923792</v>
      </c>
      <c r="P234" s="50">
        <f>1.164-(5.16*10^-3*J110)+(1.308*10^-5*J110^2)-37.4/J110</f>
        <v>0.26412108327649786</v>
      </c>
      <c r="Q234" s="75">
        <f>((B234+D234+I234+L234+M234)/O234+(E234/P234))/(J110/100)</f>
        <v>99.789904910528591</v>
      </c>
      <c r="R234" s="135">
        <f>M110</f>
        <v>0.22649999999999998</v>
      </c>
      <c r="S234" s="75">
        <f>Q234*L110*365/A249</f>
        <v>45.8154909337647</v>
      </c>
      <c r="T234" s="2"/>
      <c r="U234" s="169">
        <f>Q234/$A$253/B110</f>
        <v>4.6907627755776039E-2</v>
      </c>
      <c r="V234" s="3" t="str">
        <f t="shared" si="119"/>
        <v>Calves on forage</v>
      </c>
      <c r="Y234" s="306"/>
      <c r="AB234" s="302"/>
    </row>
    <row r="235" spans="1:28" x14ac:dyDescent="0.2">
      <c r="A235" s="188" t="str">
        <f>A111</f>
        <v>Middle East_low productivity systems</v>
      </c>
      <c r="B235" s="155"/>
      <c r="C235" s="155"/>
      <c r="D235" s="156"/>
      <c r="E235" s="157"/>
      <c r="F235" s="158"/>
      <c r="G235" s="159"/>
      <c r="H235" s="160"/>
      <c r="I235" s="161"/>
      <c r="J235" s="109"/>
      <c r="K235" s="162"/>
      <c r="L235" s="161"/>
      <c r="M235" s="161"/>
      <c r="N235" s="112"/>
      <c r="O235" s="155"/>
      <c r="P235" s="155"/>
      <c r="Q235" s="165">
        <f>SUMPRODUCT(R236:R239,Q236:Q239)</f>
        <v>121.29911371692771</v>
      </c>
      <c r="R235" s="164"/>
      <c r="S235" s="121">
        <f>SUMPRODUCT(S236:S239,R236:R239)</f>
        <v>55.690788058715256</v>
      </c>
      <c r="T235" s="2"/>
      <c r="U235" s="171"/>
      <c r="V235" s="1" t="str">
        <f t="shared" si="119"/>
        <v>Middle East_low productivity systems</v>
      </c>
      <c r="AB235" s="302"/>
    </row>
    <row r="236" spans="1:28" x14ac:dyDescent="0.2">
      <c r="A236" s="49" t="str">
        <f>A231</f>
        <v xml:space="preserve"> Mature Females</v>
      </c>
      <c r="B236" s="50">
        <f t="shared" ref="B236:B244" si="140">C236*B112^0.75</f>
        <v>29.886341838288551</v>
      </c>
      <c r="C236" s="50">
        <v>0.38600000000000001</v>
      </c>
      <c r="D236" s="51">
        <f t="shared" ref="D236:D244" si="141">IF(D112="Stall fed",0,IF(D112="Large Areas",0.37*B236,0.17*B236))</f>
        <v>5.0806781125090543</v>
      </c>
      <c r="E236" s="52">
        <f>22.02*(B112/(H236*R112))^0.75*C112^1.097</f>
        <v>0</v>
      </c>
      <c r="F236" s="59">
        <f>F112</f>
        <v>3.8</v>
      </c>
      <c r="G236" s="73">
        <f>G112</f>
        <v>3.2000000000000001E-2</v>
      </c>
      <c r="H236" s="29">
        <v>0.8</v>
      </c>
      <c r="I236" s="56">
        <f t="shared" ref="I236:I244" si="142">J236*(1.47+0.4*F112)</f>
        <v>6.8769999999999998</v>
      </c>
      <c r="J236" s="14">
        <f t="shared" ref="J236:J244" si="143">E112</f>
        <v>2.2999999999999998</v>
      </c>
      <c r="K236" s="25">
        <f t="shared" ref="K236:K244" si="144">H112</f>
        <v>0</v>
      </c>
      <c r="L236" s="56">
        <f t="shared" si="92"/>
        <v>0</v>
      </c>
      <c r="M236" s="56">
        <f t="shared" ref="M236:M244" si="145">0.1*B236*N236</f>
        <v>1.4943170919144277</v>
      </c>
      <c r="N236" s="17">
        <f>I112</f>
        <v>0.5</v>
      </c>
      <c r="O236" s="50">
        <f>1.123-(4.092*10^-3*J112)+(1.126*10^-5*J112^2)-(25.4/J112)</f>
        <v>0.49468266666666677</v>
      </c>
      <c r="P236" s="50">
        <f>1.164-(5.16*10^-3*J112)+(1.308*10^-5*J112^2)-37.4/J112</f>
        <v>0.27815466666666655</v>
      </c>
      <c r="Q236" s="75">
        <f>((B236+D236+I236+L236+M236)/O236+(E236/P236))/(J112/100)</f>
        <v>146.01393298165567</v>
      </c>
      <c r="R236" s="135">
        <f>M112</f>
        <v>0.3</v>
      </c>
      <c r="S236" s="75">
        <f>Q236*L112*365/A249</f>
        <v>67.037843444407969</v>
      </c>
      <c r="T236" s="2"/>
      <c r="U236" s="169">
        <f>Q236/$A$253/B112</f>
        <v>2.3981922145299449E-2</v>
      </c>
      <c r="V236" s="3" t="str">
        <f t="shared" si="119"/>
        <v xml:space="preserve"> Mature Females</v>
      </c>
      <c r="Y236" s="27"/>
      <c r="AB236" s="302"/>
    </row>
    <row r="237" spans="1:28" x14ac:dyDescent="0.2">
      <c r="A237" s="49" t="str">
        <f>A232</f>
        <v xml:space="preserve"> Mature Males</v>
      </c>
      <c r="B237" s="50">
        <f t="shared" si="140"/>
        <v>36.150233715011005</v>
      </c>
      <c r="C237" s="50">
        <v>0.37</v>
      </c>
      <c r="D237" s="51">
        <f t="shared" si="141"/>
        <v>6.1455397315518709</v>
      </c>
      <c r="E237" s="52">
        <f>22.02*(B113/(H237*R113))^0.75*C113^1.097</f>
        <v>0</v>
      </c>
      <c r="F237" s="59">
        <f t="shared" ref="F237:F244" si="146">F113</f>
        <v>0</v>
      </c>
      <c r="G237" s="73"/>
      <c r="H237" s="29">
        <v>1.2</v>
      </c>
      <c r="I237" s="56">
        <f t="shared" si="142"/>
        <v>0</v>
      </c>
      <c r="J237" s="14">
        <f t="shared" si="143"/>
        <v>0</v>
      </c>
      <c r="K237" s="24">
        <f t="shared" si="144"/>
        <v>1.7</v>
      </c>
      <c r="L237" s="56">
        <f t="shared" si="92"/>
        <v>6.1455397315518709</v>
      </c>
      <c r="M237" s="56">
        <f t="shared" si="145"/>
        <v>0</v>
      </c>
      <c r="N237" s="17">
        <f>I113</f>
        <v>0</v>
      </c>
      <c r="O237" s="50">
        <f>1.123-(4.092*10^-3*J113)+(1.126*10^-5*J113^2)-(25.4/J113)</f>
        <v>0.47018331818181813</v>
      </c>
      <c r="P237" s="50">
        <f>1.164-(5.16*10^-3*J113)+(1.308*10^-5*J113^2)-37.4/J113</f>
        <v>0.23976699999999995</v>
      </c>
      <c r="Q237" s="75">
        <f>((B237+D237+I237+L237+M237)/O237+(E237/P237))/(J113/100)</f>
        <v>187.32079906595328</v>
      </c>
      <c r="R237" s="135">
        <f>M113</f>
        <v>7.0000000000000007E-2</v>
      </c>
      <c r="S237" s="75">
        <f>Q237*L113*365/A249</f>
        <v>86.00263101770183</v>
      </c>
      <c r="T237" s="2"/>
      <c r="U237" s="169">
        <f>Q237/$A$253/B113</f>
        <v>2.2561975196140113E-2</v>
      </c>
      <c r="V237" s="3" t="str">
        <f t="shared" si="119"/>
        <v xml:space="preserve"> Mature Males</v>
      </c>
      <c r="Y237" s="27"/>
      <c r="AB237" s="302"/>
    </row>
    <row r="238" spans="1:28" x14ac:dyDescent="0.2">
      <c r="A238" s="49" t="str">
        <f>A233</f>
        <v>Replacement/growing</v>
      </c>
      <c r="B238" s="50">
        <f t="shared" si="140"/>
        <v>17.124912788162856</v>
      </c>
      <c r="C238" s="50">
        <v>0.32200000000000001</v>
      </c>
      <c r="D238" s="51">
        <f t="shared" si="141"/>
        <v>2.9112351739876856</v>
      </c>
      <c r="E238" s="52">
        <f>22.02*(B114/(H238*R114))^0.75*C114^1.097</f>
        <v>4.1973150604654883</v>
      </c>
      <c r="F238" s="59">
        <f t="shared" si="146"/>
        <v>0</v>
      </c>
      <c r="G238" s="73"/>
      <c r="H238" s="29">
        <v>0.8</v>
      </c>
      <c r="I238" s="56">
        <f t="shared" si="142"/>
        <v>0</v>
      </c>
      <c r="J238" s="14">
        <f t="shared" si="143"/>
        <v>0</v>
      </c>
      <c r="K238" s="25">
        <f t="shared" si="144"/>
        <v>0</v>
      </c>
      <c r="L238" s="56">
        <f t="shared" si="92"/>
        <v>0</v>
      </c>
      <c r="M238" s="56">
        <f t="shared" si="145"/>
        <v>0</v>
      </c>
      <c r="N238" s="17">
        <f>I114</f>
        <v>0</v>
      </c>
      <c r="O238" s="50">
        <f>1.123-(4.092*10^-3*J114)+(1.126*10^-5*J114^2)-(25.4/J114)</f>
        <v>0.47018331818181813</v>
      </c>
      <c r="P238" s="50">
        <f>1.164-(5.16*10^-3*J114)+(1.308*10^-5*J114^2)-37.4/J114</f>
        <v>0.23976699999999995</v>
      </c>
      <c r="Q238" s="75">
        <f>((B238+D238+I238+L238+M238)/O238+(E238/P238))/(J114/100)</f>
        <v>109.30779839061952</v>
      </c>
      <c r="R238" s="135">
        <f>M114</f>
        <v>0.42</v>
      </c>
      <c r="S238" s="75">
        <f>Q238*L114*365/A249</f>
        <v>50.185341399466836</v>
      </c>
      <c r="T238" s="2"/>
      <c r="U238" s="169">
        <f>Q238/$A$253/B114</f>
        <v>2.96227095909538E-2</v>
      </c>
      <c r="V238" s="3" t="str">
        <f t="shared" si="119"/>
        <v>Replacement/growing</v>
      </c>
      <c r="Y238" s="27"/>
      <c r="AB238" s="302"/>
    </row>
    <row r="239" spans="1:28" x14ac:dyDescent="0.2">
      <c r="A239" s="49" t="str">
        <f>A234</f>
        <v>Calves on forage</v>
      </c>
      <c r="B239" s="50">
        <f t="shared" si="140"/>
        <v>9.0140521430900478</v>
      </c>
      <c r="C239" s="50">
        <v>0.32200000000000001</v>
      </c>
      <c r="D239" s="51">
        <f t="shared" si="141"/>
        <v>1.5323888643253083</v>
      </c>
      <c r="E239" s="52">
        <f>22.02*(B115/(H239*R115))^0.75*C115^1.097</f>
        <v>6.2223635946513509</v>
      </c>
      <c r="F239" s="59">
        <f t="shared" si="146"/>
        <v>0</v>
      </c>
      <c r="G239" s="73"/>
      <c r="H239" s="29">
        <v>0.8</v>
      </c>
      <c r="I239" s="56">
        <f t="shared" si="142"/>
        <v>0</v>
      </c>
      <c r="J239" s="14">
        <f t="shared" si="143"/>
        <v>0</v>
      </c>
      <c r="K239" s="25">
        <f t="shared" si="144"/>
        <v>0</v>
      </c>
      <c r="L239" s="56">
        <f t="shared" si="92"/>
        <v>0</v>
      </c>
      <c r="M239" s="56">
        <f t="shared" si="145"/>
        <v>0</v>
      </c>
      <c r="N239" s="17">
        <f>I115</f>
        <v>0</v>
      </c>
      <c r="O239" s="50">
        <f>1.123-(4.092*10^-3*J115)+(1.126*10^-5*J115^2)-(25.4/J115)</f>
        <v>0.47018331818181813</v>
      </c>
      <c r="P239" s="50">
        <f>1.164-(5.16*10^-3*J115)+(1.308*10^-5*J115^2)-37.4/J115</f>
        <v>0.23976699999999995</v>
      </c>
      <c r="Q239" s="75">
        <f>((B239+D239+I239+L239+M239)/O239+(E239/P239))/(J115/100)</f>
        <v>87.967631255971838</v>
      </c>
      <c r="R239" s="135">
        <f>M115</f>
        <v>0.21</v>
      </c>
      <c r="S239" s="75">
        <f>Q239*L115*365/A249</f>
        <v>40.387654601798396</v>
      </c>
      <c r="T239" s="2"/>
      <c r="U239" s="169">
        <f>Q239/$A$253/B115</f>
        <v>5.6092862270665927E-2</v>
      </c>
      <c r="V239" s="3" t="str">
        <f t="shared" si="119"/>
        <v>Calves on forage</v>
      </c>
      <c r="Y239" s="27"/>
      <c r="AB239" s="302"/>
    </row>
    <row r="240" spans="1:28" x14ac:dyDescent="0.2">
      <c r="A240" s="188" t="str">
        <f>A116</f>
        <v>Middle East_high productivity systems</v>
      </c>
      <c r="B240" s="155">
        <f t="shared" si="140"/>
        <v>0</v>
      </c>
      <c r="C240" s="155"/>
      <c r="D240" s="156">
        <f t="shared" si="141"/>
        <v>0</v>
      </c>
      <c r="E240" s="157"/>
      <c r="F240" s="158">
        <f t="shared" si="146"/>
        <v>0</v>
      </c>
      <c r="G240" s="159"/>
      <c r="H240" s="160"/>
      <c r="I240" s="161">
        <f t="shared" si="142"/>
        <v>0</v>
      </c>
      <c r="J240" s="109">
        <f t="shared" si="143"/>
        <v>0</v>
      </c>
      <c r="K240" s="162">
        <f t="shared" si="144"/>
        <v>0</v>
      </c>
      <c r="L240" s="161">
        <f>0.1*B240*K240</f>
        <v>0</v>
      </c>
      <c r="M240" s="161">
        <f t="shared" si="145"/>
        <v>0</v>
      </c>
      <c r="N240" s="112"/>
      <c r="O240" s="155"/>
      <c r="P240" s="155"/>
      <c r="Q240" s="163">
        <f>SUMPRODUCT(Q241:Q244,R241:R244)</f>
        <v>146.21001885311679</v>
      </c>
      <c r="R240" s="164"/>
      <c r="S240" s="121">
        <f>SUMPRODUCT(S241:S244,R241:R244)</f>
        <v>60.415083261948254</v>
      </c>
      <c r="T240" s="2"/>
      <c r="U240" s="171"/>
      <c r="V240" s="1" t="str">
        <f t="shared" si="119"/>
        <v>Middle East_high productivity systems</v>
      </c>
      <c r="AB240" s="302"/>
    </row>
    <row r="241" spans="1:28" x14ac:dyDescent="0.2">
      <c r="A241" s="49" t="str">
        <f>A236</f>
        <v xml:space="preserve"> Mature Females</v>
      </c>
      <c r="B241" s="50">
        <f t="shared" si="140"/>
        <v>40.814530768805788</v>
      </c>
      <c r="C241" s="50">
        <v>0.38600000000000001</v>
      </c>
      <c r="D241" s="51">
        <f t="shared" si="141"/>
        <v>6.9384702306969848</v>
      </c>
      <c r="E241" s="52">
        <f>22.02*(B117/(H241*R117))^0.75*C117^1.097</f>
        <v>0</v>
      </c>
      <c r="F241" s="59">
        <f t="shared" si="146"/>
        <v>3.5</v>
      </c>
      <c r="G241" s="73">
        <f>G117</f>
        <v>3.3000000000000002E-2</v>
      </c>
      <c r="H241" s="29">
        <v>0.8</v>
      </c>
      <c r="I241" s="56">
        <f t="shared" si="142"/>
        <v>8.0359999999999996</v>
      </c>
      <c r="J241" s="14">
        <f t="shared" si="143"/>
        <v>2.8</v>
      </c>
      <c r="K241" s="25">
        <f t="shared" si="144"/>
        <v>0</v>
      </c>
      <c r="L241" s="56">
        <f>0.1*B241*K241</f>
        <v>0</v>
      </c>
      <c r="M241" s="56">
        <f t="shared" si="145"/>
        <v>2.2447991922843187</v>
      </c>
      <c r="N241" s="17">
        <f>I117</f>
        <v>0.55000000000000004</v>
      </c>
      <c r="O241" s="50">
        <f>1.123-(4.092*10^-3*J117)+(1.126*10^-5*J117^2)-(25.4/J117)</f>
        <v>0.51382426923076929</v>
      </c>
      <c r="P241" s="50">
        <f>1.164-(5.16*10^-3*J117)+(1.308*10^-5*J117^2)-37.4/J117</f>
        <v>0.30847838461538446</v>
      </c>
      <c r="Q241" s="75">
        <f>((B241+D241+I241+L241+M241)/O241+(E241/P241))/(J117/100)</f>
        <v>173.7612932520467</v>
      </c>
      <c r="R241" s="135">
        <f>M117</f>
        <v>0.2</v>
      </c>
      <c r="S241" s="75">
        <f>Q241*L117*365/A249</f>
        <v>71.799477777732506</v>
      </c>
      <c r="T241" s="2"/>
      <c r="U241" s="169">
        <f>Q241/$A$253/B117</f>
        <v>1.883591254764734E-2</v>
      </c>
      <c r="V241" s="3" t="str">
        <f t="shared" si="119"/>
        <v xml:space="preserve"> Mature Females</v>
      </c>
      <c r="Y241" s="27"/>
      <c r="AB241" s="302"/>
    </row>
    <row r="242" spans="1:28" x14ac:dyDescent="0.2">
      <c r="A242" s="49" t="str">
        <f>A237</f>
        <v xml:space="preserve"> Mature Males</v>
      </c>
      <c r="B242" s="50">
        <f t="shared" si="140"/>
        <v>44.855444203821015</v>
      </c>
      <c r="C242" s="50">
        <v>0.37</v>
      </c>
      <c r="D242" s="51">
        <f t="shared" si="141"/>
        <v>7.6254255146495735</v>
      </c>
      <c r="E242" s="52">
        <f>22.02*(B118/(H242*R118))^0.75*C118^1.097</f>
        <v>0</v>
      </c>
      <c r="F242" s="59">
        <f t="shared" si="146"/>
        <v>0</v>
      </c>
      <c r="G242" s="73"/>
      <c r="H242" s="29">
        <v>1.2</v>
      </c>
      <c r="I242" s="56">
        <f t="shared" si="142"/>
        <v>0</v>
      </c>
      <c r="J242" s="14">
        <f t="shared" si="143"/>
        <v>0</v>
      </c>
      <c r="K242" s="25">
        <f t="shared" si="144"/>
        <v>0</v>
      </c>
      <c r="L242" s="56">
        <f>0.1*B242*K242</f>
        <v>0</v>
      </c>
      <c r="M242" s="56">
        <f t="shared" si="145"/>
        <v>0</v>
      </c>
      <c r="N242" s="17">
        <f>I118</f>
        <v>0</v>
      </c>
      <c r="O242" s="50">
        <f>1.123-(4.092*10^-3*J118)+(1.126*10^-5*J118^2)-(25.4/J118)</f>
        <v>0.50672033682539674</v>
      </c>
      <c r="P242" s="50">
        <f>1.164-(5.16*10^-3*J118)+(1.308*10^-5*J118^2)-37.4/J118</f>
        <v>0.2971837263492062</v>
      </c>
      <c r="Q242" s="75">
        <f>((B242+D242+I242+L242+M242)/O242+(E242/P242))/(J118/100)</f>
        <v>164.39633808461156</v>
      </c>
      <c r="R242" s="135">
        <f>M118</f>
        <v>0.12</v>
      </c>
      <c r="S242" s="75">
        <f>Q242*L118*365/A249</f>
        <v>67.929807623641381</v>
      </c>
      <c r="T242" s="2"/>
      <c r="U242" s="169">
        <f>Q242/$A$253/B118</f>
        <v>1.485061771315371E-2</v>
      </c>
      <c r="V242" s="3" t="str">
        <f t="shared" si="119"/>
        <v xml:space="preserve"> Mature Males</v>
      </c>
      <c r="Y242" s="27"/>
      <c r="AB242" s="302"/>
    </row>
    <row r="243" spans="1:28" x14ac:dyDescent="0.2">
      <c r="A243" s="49" t="str">
        <f>A238</f>
        <v>Replacement/growing</v>
      </c>
      <c r="B243" s="50">
        <f t="shared" si="140"/>
        <v>26.055949567382328</v>
      </c>
      <c r="C243" s="50">
        <v>0.32200000000000001</v>
      </c>
      <c r="D243" s="51">
        <f t="shared" si="141"/>
        <v>4.4295114264549964</v>
      </c>
      <c r="E243" s="52">
        <f>22.02*(B119/(H243*R119))^0.75*C119^1.097</f>
        <v>9.7554556517210269</v>
      </c>
      <c r="F243" s="59">
        <f t="shared" si="146"/>
        <v>0</v>
      </c>
      <c r="G243" s="73"/>
      <c r="H243" s="29">
        <v>0.8</v>
      </c>
      <c r="I243" s="56">
        <f t="shared" si="142"/>
        <v>0</v>
      </c>
      <c r="J243" s="14">
        <f t="shared" si="143"/>
        <v>0</v>
      </c>
      <c r="K243" s="25">
        <f t="shared" si="144"/>
        <v>0</v>
      </c>
      <c r="L243" s="56">
        <f>0.1*B243*K243</f>
        <v>0</v>
      </c>
      <c r="M243" s="56">
        <f t="shared" si="145"/>
        <v>0</v>
      </c>
      <c r="N243" s="17">
        <f>I119</f>
        <v>0</v>
      </c>
      <c r="O243" s="50">
        <f>1.123-(4.092*10^-3*J119)+(1.126*10^-5*J119^2)-(25.4/J119)</f>
        <v>0.50672033682539674</v>
      </c>
      <c r="P243" s="50">
        <f>1.164-(5.16*10^-3*J119)+(1.308*10^-5*J119^2)-37.4/J119</f>
        <v>0.2971837263492062</v>
      </c>
      <c r="Q243" s="75">
        <f>((B243+D243+I243+L243+M243)/O243+(E243/P243))/(J119/100)</f>
        <v>147.60102469289106</v>
      </c>
      <c r="R243" s="135">
        <f>M119</f>
        <v>0.42</v>
      </c>
      <c r="S243" s="75">
        <f>Q243*L119*365/A249</f>
        <v>60.989857373100278</v>
      </c>
      <c r="T243" s="2"/>
      <c r="U243" s="169">
        <f>Q243/$A$253/B119</f>
        <v>2.2857301539743097E-2</v>
      </c>
      <c r="V243" s="3" t="str">
        <f t="shared" si="119"/>
        <v>Replacement/growing</v>
      </c>
      <c r="Y243" s="27"/>
      <c r="AB243" s="302"/>
    </row>
    <row r="244" spans="1:28" x14ac:dyDescent="0.2">
      <c r="A244" s="49" t="str">
        <f>A239</f>
        <v>Calves on forage</v>
      </c>
      <c r="B244" s="50">
        <f t="shared" si="140"/>
        <v>14.824116858121499</v>
      </c>
      <c r="C244" s="50">
        <v>0.32200000000000001</v>
      </c>
      <c r="D244" s="51">
        <f t="shared" si="141"/>
        <v>2.5200998658806553</v>
      </c>
      <c r="E244" s="52">
        <f>22.02*(B120/(H244*R120))^0.75*C120^1.097</f>
        <v>11.242020979084549</v>
      </c>
      <c r="F244" s="59">
        <f t="shared" si="146"/>
        <v>0</v>
      </c>
      <c r="G244" s="73"/>
      <c r="H244" s="29">
        <v>0.8</v>
      </c>
      <c r="I244" s="56">
        <f t="shared" si="142"/>
        <v>0</v>
      </c>
      <c r="J244" s="14">
        <f t="shared" si="143"/>
        <v>0</v>
      </c>
      <c r="K244" s="25">
        <f t="shared" si="144"/>
        <v>0</v>
      </c>
      <c r="L244" s="56">
        <f>0.1*B244*K244</f>
        <v>0</v>
      </c>
      <c r="M244" s="56">
        <f t="shared" si="145"/>
        <v>0</v>
      </c>
      <c r="N244" s="17">
        <f>I120</f>
        <v>0</v>
      </c>
      <c r="O244" s="50">
        <f>1.123-(4.092*10^-3*J120)+(1.126*10^-5*J120^2)-(25.4/J120)</f>
        <v>0.50672033682539674</v>
      </c>
      <c r="P244" s="50">
        <f>1.164-(5.16*10^-3*J120)+(1.308*10^-5*J120^2)-37.4/J120</f>
        <v>0.2971837263492062</v>
      </c>
      <c r="Q244" s="75">
        <f>((B244+D244+I244+L244+M244)/O244+(E244/P244))/(J120/100)</f>
        <v>114.37603562130698</v>
      </c>
      <c r="R244" s="135">
        <f>M120</f>
        <v>0.26</v>
      </c>
      <c r="S244" s="75">
        <f>Q244*L120*365/A249</f>
        <v>47.261041134087222</v>
      </c>
      <c r="T244" s="2"/>
      <c r="U244" s="169">
        <f>Q244/$A$253/B120</f>
        <v>3.7571170443067084E-2</v>
      </c>
      <c r="V244" s="3" t="str">
        <f t="shared" si="119"/>
        <v>Calves on forage</v>
      </c>
      <c r="Y244" s="27"/>
      <c r="AB244" s="302"/>
    </row>
    <row r="245" spans="1:28" x14ac:dyDescent="0.2">
      <c r="A245" s="31"/>
      <c r="B245" s="55" t="str">
        <f t="shared" ref="B245:G245" si="147">B127</f>
        <v>Maintenance</v>
      </c>
      <c r="C245" s="55" t="str">
        <f t="shared" si="147"/>
        <v>Cf</v>
      </c>
      <c r="D245" s="55" t="str">
        <f t="shared" si="147"/>
        <v>Activity</v>
      </c>
      <c r="E245" s="55" t="str">
        <f t="shared" si="147"/>
        <v>Growth</v>
      </c>
      <c r="F245" s="57" t="str">
        <f t="shared" si="147"/>
        <v>Milk fat,%</v>
      </c>
      <c r="G245" s="57" t="str">
        <f t="shared" si="147"/>
        <v>Milk protein, %</v>
      </c>
      <c r="H245" s="57"/>
      <c r="I245" s="57" t="str">
        <f t="shared" ref="I245:P245" si="148">I127</f>
        <v>Lactation</v>
      </c>
      <c r="J245" s="55" t="str">
        <f t="shared" si="148"/>
        <v>Milk, kg/day</v>
      </c>
      <c r="K245" s="55" t="str">
        <f t="shared" si="148"/>
        <v>Work</v>
      </c>
      <c r="L245" s="55" t="str">
        <f t="shared" si="148"/>
        <v>Draft Power</v>
      </c>
      <c r="M245" s="55" t="str">
        <f t="shared" si="148"/>
        <v>Pregnancy</v>
      </c>
      <c r="N245" s="55" t="str">
        <f t="shared" si="148"/>
        <v>Pregnant, %</v>
      </c>
      <c r="O245" s="55" t="str">
        <f t="shared" si="148"/>
        <v>REM</v>
      </c>
      <c r="P245" s="57" t="str">
        <f t="shared" si="148"/>
        <v>REG</v>
      </c>
      <c r="S245" s="4"/>
      <c r="T245" s="172"/>
      <c r="U245" s="173"/>
      <c r="X245" s="27"/>
      <c r="Y245" s="27"/>
      <c r="AA245" s="307"/>
      <c r="AB245" s="302"/>
    </row>
    <row r="246" spans="1:28" x14ac:dyDescent="0.2">
      <c r="A246" s="31"/>
      <c r="B246" s="33"/>
      <c r="C246" s="33"/>
      <c r="D246" s="33"/>
      <c r="E246" s="308"/>
      <c r="F246" s="308"/>
      <c r="G246" s="308"/>
      <c r="H246" s="309"/>
      <c r="I246" s="33"/>
      <c r="J246" s="34"/>
      <c r="K246" s="34"/>
      <c r="L246" s="33"/>
      <c r="M246" s="174"/>
      <c r="N246" s="33"/>
      <c r="O246" s="33"/>
      <c r="P246" s="33"/>
      <c r="Q246" s="33"/>
      <c r="R246" s="35"/>
      <c r="S246" s="174"/>
      <c r="T246" s="174"/>
      <c r="U246" s="4"/>
      <c r="V246" s="27"/>
      <c r="W246" s="32"/>
      <c r="X246" s="27"/>
      <c r="Y246" s="27"/>
      <c r="AA246" s="307"/>
      <c r="AB246" s="302"/>
    </row>
    <row r="247" spans="1:28" ht="13.5" thickBot="1" x14ac:dyDescent="0.25">
      <c r="A247" s="31"/>
      <c r="B247" s="33"/>
      <c r="C247" s="33"/>
      <c r="D247" s="33"/>
      <c r="E247" s="308"/>
      <c r="F247" s="308"/>
      <c r="G247" s="308"/>
      <c r="H247" s="309"/>
      <c r="I247" s="33"/>
      <c r="J247" s="34"/>
      <c r="K247" s="34"/>
      <c r="L247" s="33"/>
      <c r="M247" s="174"/>
      <c r="N247" s="33"/>
      <c r="O247" s="33"/>
      <c r="P247" s="33"/>
      <c r="Q247" s="33"/>
      <c r="R247" s="35"/>
      <c r="S247" s="174"/>
      <c r="T247" s="174"/>
      <c r="U247" s="4"/>
      <c r="V247" s="27"/>
      <c r="W247" s="32"/>
      <c r="X247" s="27"/>
      <c r="Y247" s="27"/>
      <c r="AA247" s="307"/>
      <c r="AB247" s="302"/>
    </row>
    <row r="248" spans="1:28" x14ac:dyDescent="0.2">
      <c r="A248" s="310" t="s">
        <v>35</v>
      </c>
      <c r="B248" s="311"/>
      <c r="C248" s="33"/>
      <c r="D248" s="33"/>
      <c r="E248" s="308"/>
      <c r="F248" s="308"/>
      <c r="G248" s="308"/>
      <c r="H248" s="309"/>
      <c r="I248" s="33"/>
      <c r="J248" s="34"/>
      <c r="K248" s="34"/>
      <c r="L248" s="33"/>
      <c r="M248" s="174"/>
      <c r="N248" s="33"/>
      <c r="O248" s="33"/>
      <c r="P248" s="33"/>
      <c r="Q248" s="33"/>
      <c r="R248" s="35"/>
      <c r="S248" s="174"/>
      <c r="T248" s="174"/>
      <c r="U248" s="4"/>
      <c r="V248" s="27"/>
      <c r="W248" s="32"/>
      <c r="X248" s="27"/>
      <c r="Y248" s="27"/>
      <c r="AA248" s="307"/>
      <c r="AB248" s="302"/>
    </row>
    <row r="249" spans="1:28" ht="13.5" thickBot="1" x14ac:dyDescent="0.25">
      <c r="A249" s="312">
        <v>55.65</v>
      </c>
      <c r="B249" s="313" t="s">
        <v>36</v>
      </c>
      <c r="C249" s="33"/>
      <c r="D249" s="33"/>
      <c r="E249" s="308"/>
      <c r="F249" s="308"/>
      <c r="G249" s="308"/>
      <c r="H249" s="309"/>
      <c r="I249" s="33"/>
      <c r="J249" s="34"/>
      <c r="K249" s="34"/>
      <c r="L249" s="33"/>
      <c r="M249" s="174"/>
      <c r="N249" s="33"/>
      <c r="O249" s="33"/>
      <c r="P249" s="33"/>
      <c r="Q249" s="33"/>
      <c r="R249" s="35"/>
      <c r="S249" s="174"/>
      <c r="T249" s="174"/>
      <c r="U249" s="4"/>
      <c r="V249" s="27"/>
      <c r="W249" s="32"/>
      <c r="X249" s="27"/>
      <c r="Y249" s="27"/>
      <c r="AA249" s="307"/>
      <c r="AB249" s="302"/>
    </row>
    <row r="250" spans="1:28" x14ac:dyDescent="0.2">
      <c r="S250" s="2"/>
      <c r="T250" s="2"/>
      <c r="U250" s="2"/>
    </row>
    <row r="251" spans="1:28" ht="13.5" thickBot="1" x14ac:dyDescent="0.25"/>
    <row r="252" spans="1:28" x14ac:dyDescent="0.2">
      <c r="A252" s="310" t="s">
        <v>37</v>
      </c>
      <c r="B252" s="311"/>
    </row>
    <row r="253" spans="1:28" ht="13.5" thickBot="1" x14ac:dyDescent="0.25">
      <c r="A253" s="312">
        <v>18.45</v>
      </c>
      <c r="B253" s="313" t="s">
        <v>36</v>
      </c>
    </row>
  </sheetData>
  <phoneticPr fontId="3" type="noConversion"/>
  <pageMargins left="0.19685039370078741" right="0.19685039370078741" top="0.35433070866141736" bottom="0.39370078740157483" header="0.27559055118110237" footer="0.19685039370078741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0"/>
  <sheetViews>
    <sheetView zoomScale="80" zoomScaleNormal="80" workbookViewId="0">
      <selection activeCell="A14" sqref="A1:XFD1048576"/>
    </sheetView>
  </sheetViews>
  <sheetFormatPr defaultRowHeight="12.75" x14ac:dyDescent="0.2"/>
  <cols>
    <col min="1" max="1" width="21.28515625" style="2" customWidth="1"/>
    <col min="2" max="2" width="11.85546875" style="45" customWidth="1"/>
    <col min="3" max="3" width="12.28515625" style="2" customWidth="1"/>
    <col min="4" max="4" width="11" style="262" customWidth="1"/>
    <col min="5" max="5" width="8.7109375" style="45"/>
    <col min="6" max="6" width="12.85546875" style="45" customWidth="1"/>
    <col min="7" max="7" width="11.85546875" style="45" customWidth="1"/>
    <col min="8" max="8" width="15.42578125" style="207" customWidth="1"/>
    <col min="9" max="9" width="14.7109375" style="45" customWidth="1"/>
    <col min="10" max="16384" width="9.140625" style="2"/>
  </cols>
  <sheetData>
    <row r="1" spans="1:9" x14ac:dyDescent="0.2">
      <c r="H1" s="45"/>
    </row>
    <row r="2" spans="1:9" x14ac:dyDescent="0.2">
      <c r="A2" s="1" t="s">
        <v>119</v>
      </c>
      <c r="H2" s="45"/>
    </row>
    <row r="3" spans="1:9" ht="13.5" thickBot="1" x14ac:dyDescent="0.25">
      <c r="H3" s="45"/>
    </row>
    <row r="4" spans="1:9" ht="38.25" x14ac:dyDescent="0.2">
      <c r="A4" s="263"/>
      <c r="B4" s="227" t="str">
        <f>Nex_19!D4</f>
        <v>GE, MJ/day/hd</v>
      </c>
      <c r="C4" s="220" t="s">
        <v>61</v>
      </c>
      <c r="D4" s="264" t="s">
        <v>55</v>
      </c>
      <c r="E4" s="219" t="s">
        <v>57</v>
      </c>
      <c r="F4" s="224" t="s">
        <v>56</v>
      </c>
      <c r="G4" s="230" t="s">
        <v>69</v>
      </c>
      <c r="H4" s="227" t="str">
        <f>Nex_19!C4</f>
        <v>Day Weighted Population Mix %</v>
      </c>
      <c r="I4" s="231" t="s">
        <v>70</v>
      </c>
    </row>
    <row r="5" spans="1:9" ht="39" thickBot="1" x14ac:dyDescent="0.25">
      <c r="A5" s="265"/>
      <c r="B5" s="239" t="s">
        <v>111</v>
      </c>
      <c r="C5" s="254" t="str">
        <f>B5</f>
        <v>from enteric section</v>
      </c>
      <c r="D5" s="255" t="str">
        <f>C5</f>
        <v>from enteric section</v>
      </c>
      <c r="E5" s="221"/>
      <c r="F5" s="225"/>
      <c r="G5" s="222" t="s">
        <v>112</v>
      </c>
      <c r="H5" s="239" t="str">
        <f>C5</f>
        <v>from enteric section</v>
      </c>
      <c r="I5" s="256"/>
    </row>
    <row r="6" spans="1:9" x14ac:dyDescent="0.2">
      <c r="A6" s="215" t="str">
        <f>Enteric_19!A129</f>
        <v>North America</v>
      </c>
      <c r="B6" s="218"/>
      <c r="C6" s="266"/>
      <c r="D6" s="267"/>
      <c r="E6" s="268"/>
      <c r="F6" s="268"/>
      <c r="G6" s="269">
        <f>SUMPRODUCT(G7:G13,H7:H13)</f>
        <v>3.124045869586074</v>
      </c>
      <c r="H6" s="268"/>
      <c r="I6" s="270">
        <f>SUMPRODUCT(I7:I13,H7:H13)</f>
        <v>7.5166551290512675</v>
      </c>
    </row>
    <row r="7" spans="1:9" x14ac:dyDescent="0.2">
      <c r="A7" s="271" t="str">
        <f>Enteric_19!A130</f>
        <v>Mature Females</v>
      </c>
      <c r="B7" s="208">
        <f>Nex_19!D7</f>
        <v>212.4296187480229</v>
      </c>
      <c r="C7" s="208">
        <f>Nex_19!B7</f>
        <v>580</v>
      </c>
      <c r="D7" s="272">
        <f>Enteric_19!J6</f>
        <v>62</v>
      </c>
      <c r="E7" s="273">
        <v>0.04</v>
      </c>
      <c r="F7" s="273">
        <v>0.08</v>
      </c>
      <c r="G7" s="274">
        <f t="shared" ref="G7:G13" si="0">(B7*(1-D7/100)+(E7*B7))*((1-F7)/18.45)</f>
        <v>4.4489325032106271</v>
      </c>
      <c r="H7" s="47">
        <f>Enteric_19!M6</f>
        <v>0.35</v>
      </c>
      <c r="I7" s="274">
        <f>G7*1000/C7</f>
        <v>7.6705732813976333</v>
      </c>
    </row>
    <row r="8" spans="1:9" x14ac:dyDescent="0.2">
      <c r="A8" s="271" t="str">
        <f>Enteric_19!A131</f>
        <v>Mature Males</v>
      </c>
      <c r="B8" s="208">
        <f>Nex_19!D8</f>
        <v>212.75163434652768</v>
      </c>
      <c r="C8" s="208">
        <f>Nex_19!B8</f>
        <v>820</v>
      </c>
      <c r="D8" s="272">
        <f>Enteric_19!J7</f>
        <v>62</v>
      </c>
      <c r="E8" s="273">
        <v>0.04</v>
      </c>
      <c r="F8" s="273">
        <v>0.08</v>
      </c>
      <c r="G8" s="274">
        <f t="shared" si="0"/>
        <v>4.4556765046882552</v>
      </c>
      <c r="H8" s="47">
        <f>Enteric_19!M7</f>
        <v>0.02</v>
      </c>
      <c r="I8" s="274">
        <f t="shared" ref="I8:I13" si="1">G8*1000/C8</f>
        <v>5.4337518349856779</v>
      </c>
    </row>
    <row r="9" spans="1:9" x14ac:dyDescent="0.2">
      <c r="A9" s="271" t="str">
        <f>Enteric_19!A132</f>
        <v>Calves on milk</v>
      </c>
      <c r="B9" s="208">
        <f>Nex_19!D9</f>
        <v>53.807869635669512</v>
      </c>
      <c r="C9" s="208">
        <f>Nex_19!B9</f>
        <v>125</v>
      </c>
      <c r="D9" s="272">
        <f>Enteric_19!J8</f>
        <v>95</v>
      </c>
      <c r="E9" s="273">
        <v>0.04</v>
      </c>
      <c r="F9" s="273">
        <v>0.08</v>
      </c>
      <c r="G9" s="274">
        <f t="shared" si="0"/>
        <v>0.24147921982837062</v>
      </c>
      <c r="H9" s="47">
        <f>Enteric_19!M8</f>
        <v>0.16</v>
      </c>
      <c r="I9" s="274">
        <f t="shared" si="1"/>
        <v>1.9318337586269649</v>
      </c>
    </row>
    <row r="10" spans="1:9" x14ac:dyDescent="0.2">
      <c r="A10" s="271" t="str">
        <f>Enteric_19!A133</f>
        <v>Calves on forage</v>
      </c>
      <c r="B10" s="208">
        <f>Nex_19!D10</f>
        <v>141.90426070015033</v>
      </c>
      <c r="C10" s="208">
        <f>Nex_19!B10</f>
        <v>215</v>
      </c>
      <c r="D10" s="272">
        <f>Enteric_19!J9</f>
        <v>65</v>
      </c>
      <c r="E10" s="273">
        <v>0.04</v>
      </c>
      <c r="F10" s="273">
        <v>0.08</v>
      </c>
      <c r="G10" s="274">
        <f t="shared" si="0"/>
        <v>2.7596340780061759</v>
      </c>
      <c r="H10" s="47">
        <f>Enteric_19!M9</f>
        <v>0.08</v>
      </c>
      <c r="I10" s="274">
        <f t="shared" si="1"/>
        <v>12.835507339563609</v>
      </c>
    </row>
    <row r="11" spans="1:9" x14ac:dyDescent="0.2">
      <c r="A11" s="271" t="str">
        <f>Enteric_19!A134</f>
        <v>Growing heifers/steers</v>
      </c>
      <c r="B11" s="208">
        <f>Nex_19!D11</f>
        <v>161.63401432967314</v>
      </c>
      <c r="C11" s="208">
        <f>Nex_19!B11</f>
        <v>300</v>
      </c>
      <c r="D11" s="272">
        <f>Enteric_19!J10</f>
        <v>62</v>
      </c>
      <c r="E11" s="273">
        <v>0.04</v>
      </c>
      <c r="F11" s="273">
        <v>0.08</v>
      </c>
      <c r="G11" s="274">
        <f t="shared" si="0"/>
        <v>3.3851156171807966</v>
      </c>
      <c r="H11" s="47">
        <f>Enteric_19!M10</f>
        <v>0.17</v>
      </c>
      <c r="I11" s="274">
        <f t="shared" si="1"/>
        <v>11.283718723935989</v>
      </c>
    </row>
    <row r="12" spans="1:9" x14ac:dyDescent="0.2">
      <c r="A12" s="271" t="str">
        <f>Enteric_19!A135</f>
        <v>Replacement/growing</v>
      </c>
      <c r="B12" s="208">
        <f>Nex_19!D12</f>
        <v>159.09388308809085</v>
      </c>
      <c r="C12" s="208">
        <f>Nex_19!B12</f>
        <v>400</v>
      </c>
      <c r="D12" s="272">
        <f>Enteric_19!J11</f>
        <v>62</v>
      </c>
      <c r="E12" s="273">
        <v>0.04</v>
      </c>
      <c r="F12" s="273">
        <v>0.08</v>
      </c>
      <c r="G12" s="274">
        <f t="shared" si="0"/>
        <v>3.3319174214221303</v>
      </c>
      <c r="H12" s="47">
        <f>Enteric_19!M11</f>
        <v>0.11</v>
      </c>
      <c r="I12" s="274">
        <f t="shared" si="1"/>
        <v>8.3297935535553265</v>
      </c>
    </row>
    <row r="13" spans="1:9" x14ac:dyDescent="0.2">
      <c r="A13" s="271" t="str">
        <f>Enteric_19!A136</f>
        <v>Feedlot cattle</v>
      </c>
      <c r="B13" s="208">
        <f>Nex_19!D13</f>
        <v>186.64587644620974</v>
      </c>
      <c r="C13" s="208">
        <f>Nex_19!B13</f>
        <v>500</v>
      </c>
      <c r="D13" s="272">
        <f>Enteric_19!J12</f>
        <v>75</v>
      </c>
      <c r="E13" s="273">
        <v>0.02</v>
      </c>
      <c r="F13" s="273">
        <v>0.08</v>
      </c>
      <c r="G13" s="274">
        <f t="shared" si="0"/>
        <v>2.5128908243489705</v>
      </c>
      <c r="H13" s="47">
        <f>Enteric_19!M12</f>
        <v>0.11</v>
      </c>
      <c r="I13" s="274">
        <f t="shared" si="1"/>
        <v>5.025781648697941</v>
      </c>
    </row>
    <row r="14" spans="1:9" x14ac:dyDescent="0.2">
      <c r="A14" s="190" t="str">
        <f>Enteric_19!A137</f>
        <v>Western Europe</v>
      </c>
      <c r="B14" s="209"/>
      <c r="C14" s="209"/>
      <c r="D14" s="275"/>
      <c r="E14" s="276"/>
      <c r="F14" s="276"/>
      <c r="G14" s="277">
        <f>SUMPRODUCT(G15:G18,H15:H18)</f>
        <v>2.4604089210962896</v>
      </c>
      <c r="H14" s="278"/>
      <c r="I14" s="232">
        <f>SUMPRODUCT(I15:I18,H15:H18)</f>
        <v>5.6755089761047515</v>
      </c>
    </row>
    <row r="15" spans="1:9" x14ac:dyDescent="0.2">
      <c r="A15" s="271" t="str">
        <f>Enteric_19!A138</f>
        <v>Mature Males</v>
      </c>
      <c r="B15" s="208">
        <f>Nex_19!D15</f>
        <v>176.816618190485</v>
      </c>
      <c r="C15" s="208">
        <f>Nex_19!B15</f>
        <v>600</v>
      </c>
      <c r="D15" s="272">
        <f>Enteric_19!J14</f>
        <v>60</v>
      </c>
      <c r="E15" s="273">
        <v>0.04</v>
      </c>
      <c r="F15" s="273">
        <v>0.08</v>
      </c>
      <c r="G15" s="274">
        <f>(B15*(1-D15/100)+(E15*B15))*((1-F15)/18.45)</f>
        <v>3.8794236879950317</v>
      </c>
      <c r="H15" s="47">
        <f>Enteric_19!M14</f>
        <v>0.22</v>
      </c>
      <c r="I15" s="274">
        <f t="shared" ref="I15:I18" si="2">G15*1000/C15</f>
        <v>6.4657061466583858</v>
      </c>
    </row>
    <row r="16" spans="1:9" x14ac:dyDescent="0.2">
      <c r="A16" s="271" t="str">
        <f>Enteric_19!A139</f>
        <v>Replacement/growing</v>
      </c>
      <c r="B16" s="208">
        <f>Nex_19!D16</f>
        <v>138.31167220372203</v>
      </c>
      <c r="C16" s="208">
        <f>Nex_19!B16</f>
        <v>400</v>
      </c>
      <c r="D16" s="272">
        <f>Enteric_19!J15</f>
        <v>65</v>
      </c>
      <c r="E16" s="273">
        <v>0.04</v>
      </c>
      <c r="F16" s="273">
        <v>0.08</v>
      </c>
      <c r="G16" s="274">
        <f>(B16*(1-D16/100)+(E16*B16))*((1-F16)/18.45)</f>
        <v>2.6897684545634397</v>
      </c>
      <c r="H16" s="47">
        <f>Enteric_19!M15</f>
        <v>0.55000000000000004</v>
      </c>
      <c r="I16" s="274">
        <f t="shared" si="2"/>
        <v>6.7244211364085995</v>
      </c>
    </row>
    <row r="17" spans="1:9" x14ac:dyDescent="0.2">
      <c r="A17" s="271" t="str">
        <f>Enteric_19!A140</f>
        <v>Calves on milk</v>
      </c>
      <c r="B17" s="208">
        <f>Nex_19!D17</f>
        <v>48.07238314550235</v>
      </c>
      <c r="C17" s="208">
        <f>Nex_19!B17</f>
        <v>230</v>
      </c>
      <c r="D17" s="272">
        <f>Enteric_19!J16</f>
        <v>95</v>
      </c>
      <c r="E17" s="273">
        <v>0.04</v>
      </c>
      <c r="F17" s="273">
        <v>0.08</v>
      </c>
      <c r="G17" s="274">
        <f>(B17*(1-D17/100)+(E17*B17))*((1-F17)/18.45)</f>
        <v>0.21573947557981552</v>
      </c>
      <c r="H17" s="47">
        <f>Enteric_19!M16</f>
        <v>0.15</v>
      </c>
      <c r="I17" s="274">
        <f t="shared" si="2"/>
        <v>0.93799771991224135</v>
      </c>
    </row>
    <row r="18" spans="1:9" x14ac:dyDescent="0.2">
      <c r="A18" s="271" t="str">
        <f>Enteric_19!A141</f>
        <v>Calves on forage</v>
      </c>
      <c r="B18" s="208">
        <f>Nex_19!D18</f>
        <v>76.984548268980589</v>
      </c>
      <c r="C18" s="208">
        <f>Nex_19!B18</f>
        <v>230</v>
      </c>
      <c r="D18" s="272">
        <f>Enteric_19!J17</f>
        <v>73</v>
      </c>
      <c r="E18" s="273">
        <v>0.04</v>
      </c>
      <c r="F18" s="273">
        <v>0.08</v>
      </c>
      <c r="G18" s="274">
        <f>(B18*(1-D18/100)+(E18*B18))*((1-F18)/18.45)</f>
        <v>1.1900267298814777</v>
      </c>
      <c r="H18" s="47">
        <f>Enteric_19!M17</f>
        <v>0.08</v>
      </c>
      <c r="I18" s="274">
        <f t="shared" si="2"/>
        <v>5.174029260354251</v>
      </c>
    </row>
    <row r="19" spans="1:9" x14ac:dyDescent="0.2">
      <c r="A19" s="190" t="str">
        <f>Enteric_19!A142</f>
        <v>Eastern Europe</v>
      </c>
      <c r="B19" s="209"/>
      <c r="C19" s="209"/>
      <c r="D19" s="275"/>
      <c r="E19" s="276"/>
      <c r="F19" s="276"/>
      <c r="G19" s="277">
        <f>SUMPRODUCT(G20:G23,H20:H23)</f>
        <v>2.57784689527384</v>
      </c>
      <c r="H19" s="278"/>
      <c r="I19" s="232">
        <f>SUMPRODUCT(I20:I23,H20:H23)</f>
        <v>7.5874647010776979</v>
      </c>
    </row>
    <row r="20" spans="1:9" x14ac:dyDescent="0.2">
      <c r="A20" s="271" t="str">
        <f>Enteric_19!A143</f>
        <v>Mature Females</v>
      </c>
      <c r="B20" s="208">
        <f>Nex_19!D20</f>
        <v>163.33308877466811</v>
      </c>
      <c r="C20" s="208">
        <f>Nex_19!B20</f>
        <v>500</v>
      </c>
      <c r="D20" s="272">
        <f>Enteric_19!J19</f>
        <v>70</v>
      </c>
      <c r="E20" s="273">
        <v>0.04</v>
      </c>
      <c r="F20" s="273">
        <v>0.08</v>
      </c>
      <c r="G20" s="274">
        <f>(B20*(1-D20/100)+(E20*B20))*((1-F20)/18.45)</f>
        <v>2.769137678521203</v>
      </c>
      <c r="H20" s="47">
        <f>Enteric_19!M19</f>
        <v>0.39</v>
      </c>
      <c r="I20" s="274">
        <f t="shared" ref="I20:I23" si="3">G20*1000/C20</f>
        <v>5.5382753570424059</v>
      </c>
    </row>
    <row r="21" spans="1:9" x14ac:dyDescent="0.2">
      <c r="A21" s="271" t="str">
        <f>Enteric_19!A144</f>
        <v>Mature Males</v>
      </c>
      <c r="B21" s="208">
        <f>Nex_19!D21</f>
        <v>157.13504480384105</v>
      </c>
      <c r="C21" s="208">
        <f>Nex_19!B21</f>
        <v>600</v>
      </c>
      <c r="D21" s="272">
        <f>Enteric_19!J20</f>
        <v>65</v>
      </c>
      <c r="E21" s="273">
        <v>0.04</v>
      </c>
      <c r="F21" s="273">
        <v>0.08</v>
      </c>
      <c r="G21" s="274">
        <f>(B21*(1-D21/100)+(E21*B21))*((1-F21)/18.45)</f>
        <v>3.055829489193397</v>
      </c>
      <c r="H21" s="47">
        <f>Enteric_19!M20</f>
        <v>0.09</v>
      </c>
      <c r="I21" s="274">
        <f t="shared" si="3"/>
        <v>5.0930491486556617</v>
      </c>
    </row>
    <row r="22" spans="1:9" x14ac:dyDescent="0.2">
      <c r="A22" s="271" t="str">
        <f>Enteric_19!A145</f>
        <v>Replacement/growing</v>
      </c>
      <c r="B22" s="208">
        <f>Nex_19!D22</f>
        <v>128.76998500367554</v>
      </c>
      <c r="C22" s="208">
        <f>Nex_19!B22</f>
        <v>350</v>
      </c>
      <c r="D22" s="272">
        <f>Enteric_19!J21</f>
        <v>65</v>
      </c>
      <c r="E22" s="273">
        <v>0.04</v>
      </c>
      <c r="F22" s="273">
        <v>0.08</v>
      </c>
      <c r="G22" s="274">
        <f>(B22*(1-D22/100)+(E22*B22))*((1-F22)/18.45)</f>
        <v>2.5042097896649747</v>
      </c>
      <c r="H22" s="47">
        <f>Enteric_19!M21</f>
        <v>0.27</v>
      </c>
      <c r="I22" s="274">
        <f t="shared" si="3"/>
        <v>7.1548851133284996</v>
      </c>
    </row>
    <row r="23" spans="1:9" x14ac:dyDescent="0.2">
      <c r="A23" s="271" t="str">
        <f>Enteric_19!A146</f>
        <v>Calves on forage</v>
      </c>
      <c r="B23" s="208">
        <f>Nex_19!D23</f>
        <v>112.45283297638042</v>
      </c>
      <c r="C23" s="208">
        <f>Nex_19!B23</f>
        <v>180</v>
      </c>
      <c r="D23" s="272">
        <f>Enteric_19!J22</f>
        <v>65</v>
      </c>
      <c r="E23" s="273">
        <v>0.04</v>
      </c>
      <c r="F23" s="273">
        <v>0.08</v>
      </c>
      <c r="G23" s="274">
        <f>(B23*(1-D23/100)+(E23*B23))*((1-F23)/18.45)</f>
        <v>2.1868876136544873</v>
      </c>
      <c r="H23" s="47">
        <f>Enteric_19!M22</f>
        <v>0.25</v>
      </c>
      <c r="I23" s="274">
        <f t="shared" si="3"/>
        <v>12.149375631413818</v>
      </c>
    </row>
    <row r="24" spans="1:9" x14ac:dyDescent="0.2">
      <c r="A24" s="190" t="str">
        <f>Enteric_19!A147</f>
        <v>Oceania</v>
      </c>
      <c r="B24" s="209"/>
      <c r="C24" s="209"/>
      <c r="D24" s="275"/>
      <c r="E24" s="276"/>
      <c r="F24" s="276"/>
      <c r="G24" s="277">
        <f>SUMPRODUCT(G25:G27,H25:H27)</f>
        <v>2.9259693850896071</v>
      </c>
      <c r="H24" s="278"/>
      <c r="I24" s="232">
        <f>SUMPRODUCT(I25:I27,H25:H27)</f>
        <v>8.6509798204152411</v>
      </c>
    </row>
    <row r="25" spans="1:9" x14ac:dyDescent="0.2">
      <c r="A25" s="271" t="str">
        <f>Enteric_19!A148</f>
        <v>Mature Females</v>
      </c>
      <c r="B25" s="208">
        <f>Nex_19!D25</f>
        <v>165.09660987450209</v>
      </c>
      <c r="C25" s="208">
        <f>Nex_19!B25</f>
        <v>416</v>
      </c>
      <c r="D25" s="272">
        <f>Enteric_19!J24</f>
        <v>61</v>
      </c>
      <c r="E25" s="273">
        <v>0.04</v>
      </c>
      <c r="F25" s="273">
        <v>0.08</v>
      </c>
      <c r="G25" s="274">
        <f>(B25*(1-D25/100)+(E25*B25))*((1-F25)/18.45)</f>
        <v>3.5399576621329554</v>
      </c>
      <c r="H25" s="47">
        <f>Enteric_19!M24</f>
        <v>0.45</v>
      </c>
      <c r="I25" s="274">
        <f t="shared" ref="I25:I27" si="4">G25*1000/C25</f>
        <v>8.5095136108965264</v>
      </c>
    </row>
    <row r="26" spans="1:9" x14ac:dyDescent="0.2">
      <c r="A26" s="271" t="str">
        <f>Enteric_19!A149</f>
        <v>Mature Males</v>
      </c>
      <c r="B26" s="208">
        <f>Nex_19!D26</f>
        <v>139.47622233010776</v>
      </c>
      <c r="C26" s="208">
        <f>Nex_19!B26</f>
        <v>467</v>
      </c>
      <c r="D26" s="272">
        <f>Enteric_19!J25</f>
        <v>62</v>
      </c>
      <c r="E26" s="273">
        <v>0.04</v>
      </c>
      <c r="F26" s="273">
        <v>0.08</v>
      </c>
      <c r="G26" s="274">
        <f>(B26*(1-D26/100)+(E26*B26))*((1-F26)/18.45)</f>
        <v>2.9210629977427445</v>
      </c>
      <c r="H26" s="47">
        <f>Enteric_19!M25</f>
        <v>0.25</v>
      </c>
      <c r="I26" s="274">
        <f t="shared" si="4"/>
        <v>6.2549528859587671</v>
      </c>
    </row>
    <row r="27" spans="1:9" x14ac:dyDescent="0.2">
      <c r="A27" s="271" t="str">
        <f>Enteric_19!A150</f>
        <v>Young</v>
      </c>
      <c r="B27" s="208">
        <f>Nex_19!D27</f>
        <v>93.699305594506072</v>
      </c>
      <c r="C27" s="208">
        <f>Nex_19!B27</f>
        <v>185</v>
      </c>
      <c r="D27" s="272">
        <f>Enteric_19!J26</f>
        <v>61</v>
      </c>
      <c r="E27" s="273">
        <v>0.04</v>
      </c>
      <c r="F27" s="273">
        <v>0.08</v>
      </c>
      <c r="G27" s="274">
        <f>(B27*(1-D27/100)+(E27*B27))*((1-F27)/18.45)</f>
        <v>2.0090756256469704</v>
      </c>
      <c r="H27" s="47">
        <f>Enteric_19!M26</f>
        <v>0.3</v>
      </c>
      <c r="I27" s="274">
        <f t="shared" si="4"/>
        <v>10.85986824674038</v>
      </c>
    </row>
    <row r="28" spans="1:9" x14ac:dyDescent="0.2">
      <c r="A28" s="190" t="str">
        <f>Enteric_19!A151</f>
        <v>Latin America</v>
      </c>
      <c r="B28" s="209"/>
      <c r="C28" s="209"/>
      <c r="D28" s="275"/>
      <c r="E28" s="276"/>
      <c r="F28" s="276"/>
      <c r="G28" s="277">
        <f>SUMPRODUCT(G29:G35,H29:H35)</f>
        <v>2.69604039960694</v>
      </c>
      <c r="H28" s="278"/>
      <c r="I28" s="232">
        <f>SUMPRODUCT(I29:I35,H29:H35)</f>
        <v>8.49506442812344</v>
      </c>
    </row>
    <row r="29" spans="1:9" x14ac:dyDescent="0.2">
      <c r="A29" s="271" t="str">
        <f>Enteric_19!A28</f>
        <v xml:space="preserve"> Mature Females</v>
      </c>
      <c r="B29" s="208">
        <f>Nex_19!D29</f>
        <v>176.58804080907382</v>
      </c>
      <c r="C29" s="208">
        <f>Nex_19!B29</f>
        <v>434.72560975609758</v>
      </c>
      <c r="D29" s="272">
        <f>Enteric_19!J28</f>
        <v>59.420731707317074</v>
      </c>
      <c r="E29" s="273">
        <v>0.04</v>
      </c>
      <c r="F29" s="273">
        <v>0.08</v>
      </c>
      <c r="G29" s="274">
        <f t="shared" ref="G29:G35" si="5">(B29*(1-D29/100)+(E29*B29))*((1-F29)/18.45)</f>
        <v>3.9254159331308331</v>
      </c>
      <c r="H29" s="47">
        <f>Enteric_19!M28</f>
        <v>0.36080000000000001</v>
      </c>
      <c r="I29" s="274">
        <f t="shared" ref="I29:I35" si="6">G29*1000/C29</f>
        <v>9.0296404100351584</v>
      </c>
    </row>
    <row r="30" spans="1:9" x14ac:dyDescent="0.2">
      <c r="A30" s="271" t="str">
        <f>Enteric_19!A29</f>
        <v xml:space="preserve"> Mature Males</v>
      </c>
      <c r="B30" s="208">
        <f>Nex_19!D30</f>
        <v>176.12811867850152</v>
      </c>
      <c r="C30" s="208">
        <f>Nex_19!B30</f>
        <v>581.94915254237287</v>
      </c>
      <c r="D30" s="272">
        <f>Enteric_19!J29</f>
        <v>59.259887005649716</v>
      </c>
      <c r="E30" s="273">
        <v>0.04</v>
      </c>
      <c r="F30" s="273">
        <v>0.08</v>
      </c>
      <c r="G30" s="274">
        <f t="shared" si="5"/>
        <v>3.92931846973757</v>
      </c>
      <c r="H30" s="47">
        <f>Enteric_19!M29</f>
        <v>1.77E-2</v>
      </c>
      <c r="I30" s="274">
        <f t="shared" si="6"/>
        <v>6.751996205461384</v>
      </c>
    </row>
    <row r="31" spans="1:9" x14ac:dyDescent="0.2">
      <c r="A31" s="271" t="str">
        <f>Enteric_19!A30</f>
        <v>Growing heifers/steers</v>
      </c>
      <c r="B31" s="208">
        <f>Nex_19!D31</f>
        <v>103.40467429904187</v>
      </c>
      <c r="C31" s="208">
        <f>Nex_19!B31</f>
        <v>240</v>
      </c>
      <c r="D31" s="272">
        <f>Enteric_19!J30</f>
        <v>60.69</v>
      </c>
      <c r="E31" s="273">
        <v>0.04</v>
      </c>
      <c r="F31" s="273">
        <v>0.08</v>
      </c>
      <c r="G31" s="274">
        <f t="shared" si="5"/>
        <v>2.2331598527805876</v>
      </c>
      <c r="H31" s="47">
        <f>Enteric_19!M30</f>
        <v>0.22</v>
      </c>
      <c r="I31" s="274">
        <f t="shared" si="6"/>
        <v>9.3048327199191156</v>
      </c>
    </row>
    <row r="32" spans="1:9" x14ac:dyDescent="0.2">
      <c r="A32" s="271" t="str">
        <f>Enteric_19!A31</f>
        <v>Replacement/growing</v>
      </c>
      <c r="B32" s="208">
        <f>Nex_19!D32</f>
        <v>124.07819297158518</v>
      </c>
      <c r="C32" s="208">
        <f>Nex_19!B32</f>
        <v>302.05898416166031</v>
      </c>
      <c r="D32" s="272">
        <f>Enteric_19!J31</f>
        <v>60.200983069361008</v>
      </c>
      <c r="E32" s="273">
        <v>0.04</v>
      </c>
      <c r="F32" s="273">
        <v>0.08</v>
      </c>
      <c r="G32" s="274">
        <f t="shared" si="5"/>
        <v>2.7098876123093261</v>
      </c>
      <c r="H32" s="47">
        <f>Enteric_19!M31</f>
        <v>0.18310000000000001</v>
      </c>
      <c r="I32" s="274">
        <f t="shared" si="6"/>
        <v>8.9713855716968478</v>
      </c>
    </row>
    <row r="33" spans="1:9" x14ac:dyDescent="0.2">
      <c r="A33" s="271" t="str">
        <f>Enteric_19!A32</f>
        <v>Calves on milk</v>
      </c>
      <c r="B33" s="208">
        <f>Nex_19!D33</f>
        <v>26.212427297411374</v>
      </c>
      <c r="C33" s="208">
        <f>Nex_19!B33</f>
        <v>65.804971319311662</v>
      </c>
      <c r="D33" s="272">
        <f>Enteric_19!J32</f>
        <v>95</v>
      </c>
      <c r="E33" s="273">
        <v>0.04</v>
      </c>
      <c r="F33" s="273">
        <v>0.08</v>
      </c>
      <c r="G33" s="274">
        <f t="shared" si="5"/>
        <v>0.11763625909082183</v>
      </c>
      <c r="H33" s="47">
        <f>Enteric_19!M32</f>
        <v>0.10460000000000001</v>
      </c>
      <c r="I33" s="274">
        <f t="shared" si="6"/>
        <v>1.7876500320926261</v>
      </c>
    </row>
    <row r="34" spans="1:9" x14ac:dyDescent="0.2">
      <c r="A34" s="271" t="str">
        <f>Enteric_19!A33</f>
        <v>Calves on forage</v>
      </c>
      <c r="B34" s="208">
        <f>Nex_19!D34</f>
        <v>84.89445131189224</v>
      </c>
      <c r="C34" s="208">
        <f>Nex_19!B34</f>
        <v>159.51242829827916</v>
      </c>
      <c r="D34" s="272">
        <f>Enteric_19!J33</f>
        <v>60.791586998087951</v>
      </c>
      <c r="E34" s="273">
        <v>0.04</v>
      </c>
      <c r="F34" s="273">
        <v>0.08</v>
      </c>
      <c r="G34" s="274">
        <f t="shared" si="5"/>
        <v>1.8291068578572129</v>
      </c>
      <c r="H34" s="47">
        <f>Enteric_19!M33</f>
        <v>0.10460000000000001</v>
      </c>
      <c r="I34" s="274">
        <f t="shared" si="6"/>
        <v>11.466861092709888</v>
      </c>
    </row>
    <row r="35" spans="1:9" x14ac:dyDescent="0.2">
      <c r="A35" s="271" t="str">
        <f>Enteric_19!A34</f>
        <v xml:space="preserve">Feedlot cattle </v>
      </c>
      <c r="B35" s="208">
        <f>Nex_19!D35</f>
        <v>148.66744685220613</v>
      </c>
      <c r="C35" s="208">
        <f>Nex_19!B35</f>
        <v>460</v>
      </c>
      <c r="D35" s="272">
        <f>Enteric_19!J34</f>
        <v>74</v>
      </c>
      <c r="E35" s="273">
        <v>0.02</v>
      </c>
      <c r="F35" s="273">
        <v>0.08</v>
      </c>
      <c r="G35" s="274">
        <f t="shared" si="5"/>
        <v>2.0757037565923198</v>
      </c>
      <c r="H35" s="47">
        <f>Enteric_19!M34</f>
        <v>9.1999999999999998E-3</v>
      </c>
      <c r="I35" s="274">
        <f t="shared" si="6"/>
        <v>4.512399470852869</v>
      </c>
    </row>
    <row r="36" spans="1:9" x14ac:dyDescent="0.2">
      <c r="A36" s="233" t="str">
        <f>Enteric_19!A159</f>
        <v>Latin America_low productivity systems</v>
      </c>
      <c r="B36" s="279"/>
      <c r="C36" s="279"/>
      <c r="D36" s="280"/>
      <c r="E36" s="281"/>
      <c r="F36" s="281"/>
      <c r="G36" s="282">
        <f>SUMPRODUCT(G37:G42,H37:H42)</f>
        <v>2.6673791857314351</v>
      </c>
      <c r="H36" s="283"/>
      <c r="I36" s="234">
        <f>SUMPRODUCT(I37:I42,H37:H42)</f>
        <v>8.6105364740939656</v>
      </c>
    </row>
    <row r="37" spans="1:9" x14ac:dyDescent="0.2">
      <c r="A37" s="271" t="str">
        <f>Enteric_19!A160</f>
        <v xml:space="preserve"> Mature Females</v>
      </c>
      <c r="B37" s="208">
        <f>Enteric_19!Q160</f>
        <v>172.01026490613808</v>
      </c>
      <c r="C37" s="208">
        <f>Nex_19!B37</f>
        <v>420</v>
      </c>
      <c r="D37" s="272">
        <f>Enteric_19!J36</f>
        <v>59</v>
      </c>
      <c r="E37" s="273">
        <v>0.04</v>
      </c>
      <c r="F37" s="273">
        <v>0.08</v>
      </c>
      <c r="G37" s="274">
        <f t="shared" ref="G37:G42" si="7">(B37*(1-D37/100)+(E37*B37))*((1-F37)/18.45)</f>
        <v>3.8597425296011476</v>
      </c>
      <c r="H37" s="47">
        <f>Nex_19!C37</f>
        <v>0.37</v>
      </c>
      <c r="I37" s="274">
        <f t="shared" ref="I37:I42" si="8">G37*1000/C37</f>
        <v>9.1898631657170178</v>
      </c>
    </row>
    <row r="38" spans="1:9" x14ac:dyDescent="0.2">
      <c r="A38" s="271" t="str">
        <f>Enteric_19!A161</f>
        <v xml:space="preserve"> Mature Males</v>
      </c>
      <c r="B38" s="208">
        <f>Enteric_19!Q161</f>
        <v>176.88071117178623</v>
      </c>
      <c r="C38" s="208">
        <f>Nex_19!B38</f>
        <v>580</v>
      </c>
      <c r="D38" s="272">
        <f>Enteric_19!J37</f>
        <v>59</v>
      </c>
      <c r="E38" s="273">
        <v>0.04</v>
      </c>
      <c r="F38" s="273">
        <v>0.08</v>
      </c>
      <c r="G38" s="274">
        <f t="shared" si="7"/>
        <v>3.9690305921473987</v>
      </c>
      <c r="H38" s="47">
        <f>Nex_19!C38</f>
        <v>0.02</v>
      </c>
      <c r="I38" s="274">
        <f t="shared" si="8"/>
        <v>6.8431561933575837</v>
      </c>
    </row>
    <row r="39" spans="1:9" x14ac:dyDescent="0.2">
      <c r="A39" s="271" t="str">
        <f>Enteric_19!A162</f>
        <v>Growing heifers/steers</v>
      </c>
      <c r="B39" s="208">
        <f>Enteric_19!Q162</f>
        <v>101.77339950731688</v>
      </c>
      <c r="C39" s="208">
        <f>Nex_19!B39</f>
        <v>240</v>
      </c>
      <c r="D39" s="272">
        <f>Enteric_19!J38</f>
        <v>60</v>
      </c>
      <c r="E39" s="273">
        <v>0.04</v>
      </c>
      <c r="F39" s="273">
        <v>0.08</v>
      </c>
      <c r="G39" s="274">
        <f t="shared" si="7"/>
        <v>2.2329469984044379</v>
      </c>
      <c r="H39" s="47">
        <f>Nex_19!C39</f>
        <v>0.22</v>
      </c>
      <c r="I39" s="274">
        <f t="shared" si="8"/>
        <v>9.3039458266851582</v>
      </c>
    </row>
    <row r="40" spans="1:9" x14ac:dyDescent="0.2">
      <c r="A40" s="271" t="str">
        <f>Enteric_19!A163</f>
        <v>Replacement/growing</v>
      </c>
      <c r="B40" s="208">
        <f>Enteric_19!Q163</f>
        <v>117.29360879516591</v>
      </c>
      <c r="C40" s="208">
        <f>Nex_19!B40</f>
        <v>290</v>
      </c>
      <c r="D40" s="272">
        <f>Enteric_19!J39</f>
        <v>60</v>
      </c>
      <c r="E40" s="273">
        <v>0.04</v>
      </c>
      <c r="F40" s="273">
        <v>0.08</v>
      </c>
      <c r="G40" s="274">
        <f t="shared" si="7"/>
        <v>2.5734662786061335</v>
      </c>
      <c r="H40" s="47">
        <f>Nex_19!C40</f>
        <v>0.19</v>
      </c>
      <c r="I40" s="274">
        <f t="shared" si="8"/>
        <v>8.874021650365977</v>
      </c>
    </row>
    <row r="41" spans="1:9" x14ac:dyDescent="0.2">
      <c r="A41" s="271" t="str">
        <f>Enteric_19!A164</f>
        <v>Calves on milk</v>
      </c>
      <c r="B41" s="208">
        <f>Enteric_19!Q164</f>
        <v>23.096951405670307</v>
      </c>
      <c r="C41" s="208">
        <f>Nex_19!B41</f>
        <v>60</v>
      </c>
      <c r="D41" s="272">
        <f>Enteric_19!J40</f>
        <v>95</v>
      </c>
      <c r="E41" s="273">
        <v>0.04</v>
      </c>
      <c r="F41" s="273">
        <v>0.08</v>
      </c>
      <c r="G41" s="274">
        <f t="shared" si="7"/>
        <v>0.10365461118642288</v>
      </c>
      <c r="H41" s="47">
        <f>Nex_19!C41</f>
        <v>0.1</v>
      </c>
      <c r="I41" s="274">
        <f t="shared" si="8"/>
        <v>1.7275768531070481</v>
      </c>
    </row>
    <row r="42" spans="1:9" x14ac:dyDescent="0.2">
      <c r="A42" s="271" t="str">
        <f>Enteric_19!A165</f>
        <v>Calves on forage</v>
      </c>
      <c r="B42" s="208">
        <f>Enteric_19!Q165</f>
        <v>77.173434933398923</v>
      </c>
      <c r="C42" s="208">
        <f>Nex_19!B42</f>
        <v>145</v>
      </c>
      <c r="D42" s="272">
        <f>Enteric_19!J41</f>
        <v>60</v>
      </c>
      <c r="E42" s="273">
        <v>0.04</v>
      </c>
      <c r="F42" s="273">
        <v>0.08</v>
      </c>
      <c r="G42" s="274">
        <f t="shared" si="7"/>
        <v>1.6932144423327853</v>
      </c>
      <c r="H42" s="47">
        <f>Nex_19!C42</f>
        <v>0.1</v>
      </c>
      <c r="I42" s="274">
        <f t="shared" si="8"/>
        <v>11.677340981605415</v>
      </c>
    </row>
    <row r="43" spans="1:9" x14ac:dyDescent="0.2">
      <c r="A43" s="233" t="str">
        <f>Enteric_19!A42</f>
        <v>Latin America_high productivity systems</v>
      </c>
      <c r="B43" s="279"/>
      <c r="C43" s="279"/>
      <c r="D43" s="280"/>
      <c r="E43" s="281"/>
      <c r="F43" s="281"/>
      <c r="G43" s="282">
        <f>SUMPRODUCT(G44:G50,H44:H50)</f>
        <v>2.766675463127874</v>
      </c>
      <c r="H43" s="283"/>
      <c r="I43" s="234">
        <f>SUMPRODUCT(I44:I50,H44:H50)</f>
        <v>8.0593546919787666</v>
      </c>
    </row>
    <row r="44" spans="1:9" x14ac:dyDescent="0.2">
      <c r="A44" s="271" t="str">
        <f>Enteric_19!A43</f>
        <v xml:space="preserve"> Mature Females</v>
      </c>
      <c r="B44" s="208">
        <f>Enteric_19!Q167</f>
        <v>192.80575101666693</v>
      </c>
      <c r="C44" s="208">
        <f>Nex_19!B44</f>
        <v>490</v>
      </c>
      <c r="D44" s="272">
        <f>Enteric_19!J43</f>
        <v>61</v>
      </c>
      <c r="E44" s="273">
        <v>0.04</v>
      </c>
      <c r="F44" s="273">
        <v>0.08</v>
      </c>
      <c r="G44" s="274">
        <f t="shared" ref="G44:G50" si="9">(B44*(1-D44/100)+(E44*B44))*((1-F44)/18.45)</f>
        <v>4.134089707435959</v>
      </c>
      <c r="H44" s="47">
        <f>Nex_19!C44</f>
        <v>0.33</v>
      </c>
      <c r="I44" s="274">
        <f t="shared" ref="I44:I50" si="10">G44*1000/C44</f>
        <v>8.4369177702774678</v>
      </c>
    </row>
    <row r="45" spans="1:9" x14ac:dyDescent="0.2">
      <c r="A45" s="271" t="str">
        <f>Enteric_19!A44</f>
        <v xml:space="preserve"> Mature Males</v>
      </c>
      <c r="B45" s="208">
        <f>Enteric_19!Q168</f>
        <v>171.37128356907456</v>
      </c>
      <c r="C45" s="208">
        <f>Nex_19!B45</f>
        <v>595</v>
      </c>
      <c r="D45" s="272">
        <f>Enteric_19!J44</f>
        <v>61</v>
      </c>
      <c r="E45" s="273">
        <v>0.04</v>
      </c>
      <c r="F45" s="273">
        <v>0.08</v>
      </c>
      <c r="G45" s="274">
        <f t="shared" si="9"/>
        <v>3.6744975490474747</v>
      </c>
      <c r="H45" s="47">
        <f>Nex_19!C45</f>
        <v>0.01</v>
      </c>
      <c r="I45" s="274">
        <f t="shared" si="10"/>
        <v>6.1756261328528987</v>
      </c>
    </row>
    <row r="46" spans="1:9" x14ac:dyDescent="0.2">
      <c r="A46" s="271" t="str">
        <f>Enteric_19!A45</f>
        <v>Growing heifers/steers</v>
      </c>
      <c r="B46" s="208">
        <f>Enteric_19!Q169</f>
        <v>107.84030509815275</v>
      </c>
      <c r="C46" s="208">
        <f>Nex_19!B46</f>
        <v>240</v>
      </c>
      <c r="D46" s="272">
        <f>Enteric_19!J45</f>
        <v>63</v>
      </c>
      <c r="E46" s="273">
        <v>0.04</v>
      </c>
      <c r="F46" s="273">
        <v>0.08</v>
      </c>
      <c r="G46" s="274">
        <f t="shared" si="9"/>
        <v>2.2047351264511232</v>
      </c>
      <c r="H46" s="47">
        <f>Nex_19!C46</f>
        <v>0.22</v>
      </c>
      <c r="I46" s="274">
        <f t="shared" si="10"/>
        <v>9.1863963602130134</v>
      </c>
    </row>
    <row r="47" spans="1:9" x14ac:dyDescent="0.2">
      <c r="A47" s="271" t="str">
        <f>Enteric_19!A46</f>
        <v>Replacement/growing</v>
      </c>
      <c r="B47" s="208">
        <f>Enteric_19!Q170</f>
        <v>151.48983503906868</v>
      </c>
      <c r="C47" s="208">
        <f>Nex_19!B47</f>
        <v>350</v>
      </c>
      <c r="D47" s="272">
        <f>Enteric_19!J46</f>
        <v>61</v>
      </c>
      <c r="E47" s="273">
        <v>0.04</v>
      </c>
      <c r="F47" s="273">
        <v>0.08</v>
      </c>
      <c r="G47" s="274">
        <f t="shared" si="9"/>
        <v>3.2482048098349905</v>
      </c>
      <c r="H47" s="47">
        <f>Nex_19!C47</f>
        <v>0.16</v>
      </c>
      <c r="I47" s="274">
        <f t="shared" si="10"/>
        <v>9.2805851709571154</v>
      </c>
    </row>
    <row r="48" spans="1:9" x14ac:dyDescent="0.2">
      <c r="A48" s="271" t="str">
        <f>Enteric_19!A47</f>
        <v>Calves on milk</v>
      </c>
      <c r="B48" s="208">
        <f>Enteric_19!Q171</f>
        <v>35.492486378175819</v>
      </c>
      <c r="C48" s="208">
        <f>Nex_19!B48</f>
        <v>82</v>
      </c>
      <c r="D48" s="272">
        <f>Enteric_19!J47</f>
        <v>95</v>
      </c>
      <c r="E48" s="273">
        <v>0.04</v>
      </c>
      <c r="F48" s="273">
        <v>0.08</v>
      </c>
      <c r="G48" s="274">
        <f t="shared" si="9"/>
        <v>0.15928335350205744</v>
      </c>
      <c r="H48" s="47">
        <f>Nex_19!C48</f>
        <v>0.12</v>
      </c>
      <c r="I48" s="274">
        <f t="shared" si="10"/>
        <v>1.9424799207567982</v>
      </c>
    </row>
    <row r="49" spans="1:9" x14ac:dyDescent="0.2">
      <c r="A49" s="271" t="str">
        <f>Enteric_19!A48</f>
        <v>Calves on forage</v>
      </c>
      <c r="B49" s="208">
        <f>Enteric_19!Q172</f>
        <v>105.48270411959831</v>
      </c>
      <c r="C49" s="208">
        <f>Nex_19!B49</f>
        <v>200</v>
      </c>
      <c r="D49" s="272">
        <f>Enteric_19!J48</f>
        <v>63</v>
      </c>
      <c r="E49" s="273">
        <v>0.04</v>
      </c>
      <c r="F49" s="273">
        <v>0.08</v>
      </c>
      <c r="G49" s="274">
        <f t="shared" si="9"/>
        <v>2.1565352842228989</v>
      </c>
      <c r="H49" s="47">
        <f>Nex_19!C49</f>
        <v>0.12</v>
      </c>
      <c r="I49" s="274">
        <f t="shared" si="10"/>
        <v>10.782676421114495</v>
      </c>
    </row>
    <row r="50" spans="1:9" x14ac:dyDescent="0.2">
      <c r="A50" s="271" t="str">
        <f>Enteric_19!A49</f>
        <v xml:space="preserve">Feedlot cattle </v>
      </c>
      <c r="B50" s="208">
        <f>Enteric_19!Q173</f>
        <v>148.66744685220613</v>
      </c>
      <c r="C50" s="208">
        <f>Nex_19!B50</f>
        <v>460</v>
      </c>
      <c r="D50" s="272">
        <f>Enteric_19!J49</f>
        <v>74</v>
      </c>
      <c r="E50" s="273">
        <v>0.02</v>
      </c>
      <c r="F50" s="273">
        <v>0.08</v>
      </c>
      <c r="G50" s="274">
        <f t="shared" si="9"/>
        <v>2.0757037565923198</v>
      </c>
      <c r="H50" s="47">
        <f>Nex_19!C50</f>
        <v>0.04</v>
      </c>
      <c r="I50" s="274">
        <f t="shared" si="10"/>
        <v>4.512399470852869</v>
      </c>
    </row>
    <row r="51" spans="1:9" x14ac:dyDescent="0.2">
      <c r="A51" s="235" t="str">
        <f>Enteric_19!A50</f>
        <v>Asia</v>
      </c>
      <c r="B51" s="284"/>
      <c r="C51" s="284"/>
      <c r="D51" s="285"/>
      <c r="E51" s="286"/>
      <c r="F51" s="286"/>
      <c r="G51" s="287">
        <f>SUMPRODUCT(G52:G57,H52:H57)</f>
        <v>2.6175424393810176</v>
      </c>
      <c r="H51" s="288"/>
      <c r="I51" s="289">
        <f>SUMPRODUCT(I52:I57,H52:H57)</f>
        <v>9.8467316178075439</v>
      </c>
    </row>
    <row r="52" spans="1:9" x14ac:dyDescent="0.2">
      <c r="A52" s="271" t="str">
        <f>Enteric_19!A51</f>
        <v>Mature Females</v>
      </c>
      <c r="B52" s="208">
        <f>Nex_19!D52</f>
        <v>141.31771187015897</v>
      </c>
      <c r="C52" s="208">
        <f>Nex_19!B52</f>
        <v>375.52646035524629</v>
      </c>
      <c r="D52" s="272">
        <f>Enteric_19!J51</f>
        <v>61.29738143197217</v>
      </c>
      <c r="E52" s="273">
        <v>0.04</v>
      </c>
      <c r="F52" s="273">
        <v>0.08</v>
      </c>
      <c r="G52" s="274">
        <f t="shared" ref="G52:G57" si="11">(B52*(1-D52/100)+(E52*B52))*((1-F52)/18.45)</f>
        <v>3.0091411594287423</v>
      </c>
      <c r="H52" s="47">
        <f>Enteric_19!M51</f>
        <v>0.27304999999999996</v>
      </c>
      <c r="I52" s="274">
        <f t="shared" ref="I52:I57" si="12">G52*1000/C52</f>
        <v>8.0131268421993731</v>
      </c>
    </row>
    <row r="53" spans="1:9" x14ac:dyDescent="0.2">
      <c r="A53" s="271" t="str">
        <f>Enteric_19!A52</f>
        <v>Mature Females - grazing</v>
      </c>
      <c r="B53" s="208">
        <f>Nex_19!D53</f>
        <v>136.49628017651528</v>
      </c>
      <c r="C53" s="208">
        <f>Nex_19!B53</f>
        <v>305</v>
      </c>
      <c r="D53" s="272">
        <f>Enteric_19!J52</f>
        <v>59</v>
      </c>
      <c r="E53" s="273">
        <v>0.04</v>
      </c>
      <c r="F53" s="273">
        <v>0.08</v>
      </c>
      <c r="G53" s="274">
        <f t="shared" si="11"/>
        <v>3.062843360058392</v>
      </c>
      <c r="H53" s="47">
        <f>Enteric_19!M52</f>
        <v>8.7149999999999991E-2</v>
      </c>
      <c r="I53" s="274">
        <f t="shared" si="12"/>
        <v>10.04210937724063</v>
      </c>
    </row>
    <row r="54" spans="1:9" x14ac:dyDescent="0.2">
      <c r="A54" s="271" t="str">
        <f>Enteric_19!A53</f>
        <v>Mature Males</v>
      </c>
      <c r="B54" s="208">
        <f>Nex_19!D54</f>
        <v>157.64544009941477</v>
      </c>
      <c r="C54" s="208">
        <f>Nex_19!B54</f>
        <v>501.14362596703666</v>
      </c>
      <c r="D54" s="272">
        <f>Enteric_19!J53</f>
        <v>57.251597712748058</v>
      </c>
      <c r="E54" s="273">
        <v>0.04</v>
      </c>
      <c r="F54" s="273">
        <v>0.08</v>
      </c>
      <c r="G54" s="274">
        <f t="shared" si="11"/>
        <v>3.6748502202259377</v>
      </c>
      <c r="H54" s="47">
        <f>Enteric_19!M53</f>
        <v>0.14865</v>
      </c>
      <c r="I54" s="274">
        <f t="shared" si="12"/>
        <v>7.3329281862753968</v>
      </c>
    </row>
    <row r="55" spans="1:9" x14ac:dyDescent="0.2">
      <c r="A55" s="271" t="str">
        <f>Enteric_19!A54</f>
        <v>Mature Males - grazing</v>
      </c>
      <c r="B55" s="208">
        <f>Nex_19!D55</f>
        <v>149.18210363216718</v>
      </c>
      <c r="C55" s="208">
        <f>Nex_19!B55</f>
        <v>430</v>
      </c>
      <c r="D55" s="272">
        <f>Enteric_19!J54</f>
        <v>57</v>
      </c>
      <c r="E55" s="273">
        <v>0.04</v>
      </c>
      <c r="F55" s="273">
        <v>0.08</v>
      </c>
      <c r="G55" s="274">
        <f t="shared" si="11"/>
        <v>3.4962786780785415</v>
      </c>
      <c r="H55" s="47">
        <f>Enteric_19!M54</f>
        <v>6.2249999999999993E-2</v>
      </c>
      <c r="I55" s="274">
        <f t="shared" si="12"/>
        <v>8.1308806466942816</v>
      </c>
    </row>
    <row r="56" spans="1:9" x14ac:dyDescent="0.2">
      <c r="A56" s="271" t="str">
        <f>Enteric_19!A55</f>
        <v>Growing/Replacement</v>
      </c>
      <c r="B56" s="208">
        <f>Nex_19!D56</f>
        <v>96.596792057229848</v>
      </c>
      <c r="C56" s="208">
        <f>Nex_19!B56</f>
        <v>207.20797158642461</v>
      </c>
      <c r="D56" s="272">
        <f>Enteric_19!J55</f>
        <v>60.630228887134962</v>
      </c>
      <c r="E56" s="273">
        <v>0.04</v>
      </c>
      <c r="F56" s="273">
        <v>0.08</v>
      </c>
      <c r="G56" s="274">
        <f t="shared" si="11"/>
        <v>2.0890137131806785</v>
      </c>
      <c r="H56" s="47">
        <f>Enteric_19!M55</f>
        <v>0.25340000000000001</v>
      </c>
      <c r="I56" s="274">
        <f t="shared" si="12"/>
        <v>10.081724642091627</v>
      </c>
    </row>
    <row r="57" spans="1:9" x14ac:dyDescent="0.2">
      <c r="A57" s="271" t="str">
        <f>Enteric_19!A56</f>
        <v>Calves on forage</v>
      </c>
      <c r="B57" s="208">
        <f>Nex_19!D57</f>
        <v>63.546209153456424</v>
      </c>
      <c r="C57" s="208">
        <f>Nex_19!B57</f>
        <v>89.529914529914521</v>
      </c>
      <c r="D57" s="272">
        <f>Enteric_19!J56</f>
        <v>61.615384615384613</v>
      </c>
      <c r="E57" s="273">
        <v>0.04</v>
      </c>
      <c r="F57" s="273">
        <v>0.08</v>
      </c>
      <c r="G57" s="274">
        <f t="shared" si="11"/>
        <v>1.3430412484498699</v>
      </c>
      <c r="H57" s="47">
        <f>Enteric_19!M56</f>
        <v>0.17549999999999999</v>
      </c>
      <c r="I57" s="274">
        <f t="shared" si="12"/>
        <v>15.001033514905471</v>
      </c>
    </row>
    <row r="58" spans="1:9" x14ac:dyDescent="0.2">
      <c r="A58" s="233" t="str">
        <f>Enteric_19!A57</f>
        <v>Asia_low productivity systems</v>
      </c>
      <c r="B58" s="279"/>
      <c r="C58" s="279"/>
      <c r="D58" s="280"/>
      <c r="E58" s="281"/>
      <c r="F58" s="281"/>
      <c r="G58" s="282">
        <f>SUMPRODUCT(G59:G64,H59:H64)</f>
        <v>2.6660801435369521</v>
      </c>
      <c r="H58" s="283"/>
      <c r="I58" s="234">
        <f>SUMPRODUCT(I59:I64,H59:H64)</f>
        <v>10.603128370553573</v>
      </c>
    </row>
    <row r="59" spans="1:9" x14ac:dyDescent="0.2">
      <c r="A59" s="271" t="str">
        <f>Enteric_19!A58</f>
        <v xml:space="preserve"> Mature Females-Farming</v>
      </c>
      <c r="B59" s="208">
        <f>Nex_19!D59</f>
        <v>140.39600557419314</v>
      </c>
      <c r="C59" s="208">
        <f>Nex_19!B59</f>
        <v>350</v>
      </c>
      <c r="D59" s="272">
        <f>Enteric_19!J58</f>
        <v>59</v>
      </c>
      <c r="E59" s="273">
        <v>0.04</v>
      </c>
      <c r="F59" s="273">
        <v>0.08</v>
      </c>
      <c r="G59" s="274">
        <f t="shared" ref="G59:G64" si="13">(B59*(1-D59/100)+(E59*B59))*((1-F59)/18.45)</f>
        <v>3.1503493933721392</v>
      </c>
      <c r="H59" s="47">
        <f>Enteric_19!M58</f>
        <v>0.24499999999999997</v>
      </c>
      <c r="I59" s="274">
        <f t="shared" ref="I59:I64" si="14">G59*1000/C59</f>
        <v>9.0009982667775414</v>
      </c>
    </row>
    <row r="60" spans="1:9" x14ac:dyDescent="0.2">
      <c r="A60" s="271" t="str">
        <f>Enteric_19!A59</f>
        <v xml:space="preserve"> Mature Females-Grazing</v>
      </c>
      <c r="B60" s="208">
        <f>Nex_19!D60</f>
        <v>136.49628017651528</v>
      </c>
      <c r="C60" s="208">
        <f>Nex_19!B60</f>
        <v>305</v>
      </c>
      <c r="D60" s="272">
        <f>Enteric_19!J59</f>
        <v>59</v>
      </c>
      <c r="E60" s="273">
        <v>0.04</v>
      </c>
      <c r="F60" s="273">
        <v>0.08</v>
      </c>
      <c r="G60" s="274">
        <f t="shared" si="13"/>
        <v>3.062843360058392</v>
      </c>
      <c r="H60" s="47">
        <f>Enteric_19!M59</f>
        <v>0.105</v>
      </c>
      <c r="I60" s="274">
        <f t="shared" si="14"/>
        <v>10.04210937724063</v>
      </c>
    </row>
    <row r="61" spans="1:9" x14ac:dyDescent="0.2">
      <c r="A61" s="271" t="str">
        <f>Enteric_19!A60</f>
        <v xml:space="preserve"> Mature Males-Farming</v>
      </c>
      <c r="B61" s="208">
        <f>Nex_19!D61</f>
        <v>137.92219274343708</v>
      </c>
      <c r="C61" s="208">
        <f>Nex_19!B61</f>
        <v>500</v>
      </c>
      <c r="D61" s="272">
        <f>Enteric_19!J60</f>
        <v>57</v>
      </c>
      <c r="E61" s="273">
        <v>0.04</v>
      </c>
      <c r="F61" s="273">
        <v>0.08</v>
      </c>
      <c r="G61" s="274">
        <f t="shared" si="13"/>
        <v>3.2323878667892796</v>
      </c>
      <c r="H61" s="47">
        <f>Enteric_19!M60</f>
        <v>0.17499999999999999</v>
      </c>
      <c r="I61" s="274">
        <f t="shared" si="14"/>
        <v>6.4647757335785592</v>
      </c>
    </row>
    <row r="62" spans="1:9" x14ac:dyDescent="0.2">
      <c r="A62" s="271" t="str">
        <f>Enteric_19!A61</f>
        <v xml:space="preserve"> Mature Males-Grazing</v>
      </c>
      <c r="B62" s="208">
        <f>Nex_19!D62</f>
        <v>149.18210363216718</v>
      </c>
      <c r="C62" s="208">
        <f>Nex_19!B62</f>
        <v>430</v>
      </c>
      <c r="D62" s="272">
        <f>Enteric_19!J61</f>
        <v>57</v>
      </c>
      <c r="E62" s="273">
        <v>0.04</v>
      </c>
      <c r="F62" s="273">
        <v>0.08</v>
      </c>
      <c r="G62" s="274">
        <f t="shared" si="13"/>
        <v>3.4962786780785415</v>
      </c>
      <c r="H62" s="47">
        <f>Enteric_19!M61</f>
        <v>7.4999999999999997E-2</v>
      </c>
      <c r="I62" s="274">
        <f t="shared" si="14"/>
        <v>8.1308806466942816</v>
      </c>
    </row>
    <row r="63" spans="1:9" x14ac:dyDescent="0.2">
      <c r="A63" s="271" t="str">
        <f>Enteric_19!A62</f>
        <v>Growing/Replacement</v>
      </c>
      <c r="B63" s="208">
        <f>Nex_19!D63</f>
        <v>95.595794529082326</v>
      </c>
      <c r="C63" s="208">
        <f>Nex_19!B63</f>
        <v>190</v>
      </c>
      <c r="D63" s="272">
        <f>Enteric_19!J62</f>
        <v>59</v>
      </c>
      <c r="E63" s="273">
        <v>0.04</v>
      </c>
      <c r="F63" s="273">
        <v>0.08</v>
      </c>
      <c r="G63" s="274">
        <f t="shared" si="13"/>
        <v>2.1450763650428235</v>
      </c>
      <c r="H63" s="47">
        <f>Enteric_19!M62</f>
        <v>0.25</v>
      </c>
      <c r="I63" s="274">
        <f t="shared" si="14"/>
        <v>11.289875605488545</v>
      </c>
    </row>
    <row r="64" spans="1:9" x14ac:dyDescent="0.2">
      <c r="A64" s="271" t="str">
        <f>Enteric_19!A63</f>
        <v>Calves on forage</v>
      </c>
      <c r="B64" s="208">
        <f>Nex_19!D64</f>
        <v>61.942122772079657</v>
      </c>
      <c r="C64" s="208">
        <f>Nex_19!B64</f>
        <v>75</v>
      </c>
      <c r="D64" s="272">
        <f>Enteric_19!J63</f>
        <v>59</v>
      </c>
      <c r="E64" s="273">
        <v>0.04</v>
      </c>
      <c r="F64" s="273">
        <v>0.08</v>
      </c>
      <c r="G64" s="274">
        <f t="shared" si="13"/>
        <v>1.3899208036661779</v>
      </c>
      <c r="H64" s="47">
        <f>Enteric_19!M63</f>
        <v>0.15</v>
      </c>
      <c r="I64" s="274">
        <f t="shared" si="14"/>
        <v>18.532277382215703</v>
      </c>
    </row>
    <row r="65" spans="1:9" x14ac:dyDescent="0.2">
      <c r="A65" s="233" t="str">
        <f>Enteric_19!A64</f>
        <v>Asia_high productivity systems</v>
      </c>
      <c r="B65" s="279"/>
      <c r="C65" s="279"/>
      <c r="D65" s="280"/>
      <c r="E65" s="281"/>
      <c r="F65" s="281"/>
      <c r="G65" s="282">
        <f>SUMPRODUCT(G66:G69,H66:H69)</f>
        <v>1.859905603522831</v>
      </c>
      <c r="H65" s="283"/>
      <c r="I65" s="234">
        <f>SUMPRODUCT(I66:I69,H66:H69)</f>
        <v>6.8146251779487468</v>
      </c>
    </row>
    <row r="66" spans="1:9" x14ac:dyDescent="0.2">
      <c r="A66" s="271" t="str">
        <f>Enteric_19!A65</f>
        <v xml:space="preserve"> Mature Females</v>
      </c>
      <c r="B66" s="208">
        <f>Nex_19!D66</f>
        <v>132.35376035436951</v>
      </c>
      <c r="C66" s="208">
        <f>Nex_19!B66</f>
        <v>450</v>
      </c>
      <c r="D66" s="272">
        <f>Enteric_19!J65</f>
        <v>68</v>
      </c>
      <c r="E66" s="273">
        <v>0.04</v>
      </c>
      <c r="F66" s="273">
        <v>0.08</v>
      </c>
      <c r="G66" s="274">
        <f>(B66*(1-D66/100)+(E66*B66))*((1-F66)/18.45)</f>
        <v>2.3759114053857551</v>
      </c>
      <c r="H66" s="47">
        <f>Enteric_19!M65</f>
        <v>0.41</v>
      </c>
      <c r="I66" s="274">
        <f t="shared" ref="I66:I69" si="15">G66*1000/C66</f>
        <v>5.2798031230794562</v>
      </c>
    </row>
    <row r="67" spans="1:9" x14ac:dyDescent="0.2">
      <c r="A67" s="271" t="str">
        <f>Enteric_19!A66</f>
        <v>Mature Males</v>
      </c>
      <c r="B67" s="208">
        <f>Nex_19!D67</f>
        <v>118.09459061109264</v>
      </c>
      <c r="C67" s="208">
        <f>Nex_19!B67</f>
        <v>550</v>
      </c>
      <c r="D67" s="272">
        <f>Enteric_19!J66</f>
        <v>68</v>
      </c>
      <c r="E67" s="273">
        <v>0.04</v>
      </c>
      <c r="F67" s="273">
        <v>0.08</v>
      </c>
      <c r="G67" s="274">
        <f>(B67*(1-D67/100)+(E67*B67))*((1-F67)/18.45)</f>
        <v>2.1199419192625411</v>
      </c>
      <c r="H67" s="47">
        <f>Enteric_19!M66</f>
        <v>0.02</v>
      </c>
      <c r="I67" s="274">
        <f t="shared" si="15"/>
        <v>3.85443985320462</v>
      </c>
    </row>
    <row r="68" spans="1:9" x14ac:dyDescent="0.2">
      <c r="A68" s="271" t="str">
        <f>Enteric_19!A67</f>
        <v>Growing/Replacement</v>
      </c>
      <c r="B68" s="208">
        <f>Nex_19!D68</f>
        <v>99.881756266237844</v>
      </c>
      <c r="C68" s="208">
        <f>Nex_19!B68</f>
        <v>285</v>
      </c>
      <c r="D68" s="272">
        <f>Enteric_19!J67</f>
        <v>68</v>
      </c>
      <c r="E68" s="273">
        <v>0.04</v>
      </c>
      <c r="F68" s="273">
        <v>0.08</v>
      </c>
      <c r="G68" s="274">
        <f>(B68*(1-D68/100)+(E68*B68))*((1-F68)/18.45)</f>
        <v>1.792999331998806</v>
      </c>
      <c r="H68" s="47">
        <f>Enteric_19!M67</f>
        <v>0.27</v>
      </c>
      <c r="I68" s="274">
        <f t="shared" si="15"/>
        <v>6.2912257263116</v>
      </c>
    </row>
    <row r="69" spans="1:9" x14ac:dyDescent="0.2">
      <c r="A69" s="271" t="str">
        <f>Enteric_19!A68</f>
        <v>Calves on forage</v>
      </c>
      <c r="B69" s="208">
        <f>Nex_19!D69</f>
        <v>66.71288061992513</v>
      </c>
      <c r="C69" s="208">
        <f>Nex_19!B69</f>
        <v>125</v>
      </c>
      <c r="D69" s="272">
        <f>Enteric_19!J68</f>
        <v>68</v>
      </c>
      <c r="E69" s="273">
        <v>0.04</v>
      </c>
      <c r="F69" s="273">
        <v>0.08</v>
      </c>
      <c r="G69" s="274">
        <f>(B69*(1-D69/100)+(E69*B69))*((1-F69)/18.45)</f>
        <v>1.1975775642991437</v>
      </c>
      <c r="H69" s="47">
        <f>Enteric_19!M68</f>
        <v>0.3</v>
      </c>
      <c r="I69" s="274">
        <f t="shared" si="15"/>
        <v>9.58062051439315</v>
      </c>
    </row>
    <row r="70" spans="1:9" x14ac:dyDescent="0.2">
      <c r="A70" s="235" t="str">
        <f>Enteric_19!A69</f>
        <v>Africa</v>
      </c>
      <c r="B70" s="284"/>
      <c r="C70" s="284"/>
      <c r="D70" s="285"/>
      <c r="E70" s="286"/>
      <c r="F70" s="286"/>
      <c r="G70" s="287">
        <f>SUMPRODUCT(G71:G77,H71:H77)</f>
        <v>2.5685936629286426</v>
      </c>
      <c r="H70" s="288"/>
      <c r="I70" s="289">
        <f>SUMPRODUCT(I71:I77,H71:H77)</f>
        <v>12.088239934093775</v>
      </c>
    </row>
    <row r="71" spans="1:9" x14ac:dyDescent="0.2">
      <c r="A71" s="271" t="str">
        <f>Enteric_19!A70</f>
        <v xml:space="preserve"> Mature Females</v>
      </c>
      <c r="B71" s="208">
        <f>Nex_19!D71</f>
        <v>161.36860234674808</v>
      </c>
      <c r="C71" s="208">
        <f>Nex_19!B71</f>
        <v>356.0542168674699</v>
      </c>
      <c r="D71" s="272">
        <f>Enteric_19!J70</f>
        <v>60.114457831325304</v>
      </c>
      <c r="E71" s="273">
        <v>0.04</v>
      </c>
      <c r="F71" s="273">
        <v>0.08</v>
      </c>
      <c r="G71" s="274">
        <f t="shared" ref="G71:G77" si="16">(B71*(1-D71/100)+(E71*B71))*((1-F71)/18.45)</f>
        <v>3.5312784361784528</v>
      </c>
      <c r="H71" s="47">
        <f>Enteric_19!M70</f>
        <v>0.16599999999999998</v>
      </c>
      <c r="I71" s="274">
        <f t="shared" ref="I71:I77" si="17">G71*1000/C71</f>
        <v>9.9178110211593467</v>
      </c>
    </row>
    <row r="72" spans="1:9" x14ac:dyDescent="0.2">
      <c r="A72" s="271" t="str">
        <f>Enteric_19!A71</f>
        <v xml:space="preserve"> Mature Females-Grazing</v>
      </c>
      <c r="B72" s="208">
        <f>Nex_19!D72</f>
        <v>144.11396212077881</v>
      </c>
      <c r="C72" s="208">
        <f>Nex_19!B72</f>
        <v>275</v>
      </c>
      <c r="D72" s="272">
        <f>Enteric_19!J71</f>
        <v>58</v>
      </c>
      <c r="E72" s="273">
        <v>0.04</v>
      </c>
      <c r="F72" s="273">
        <v>0.08</v>
      </c>
      <c r="G72" s="274">
        <f t="shared" si="16"/>
        <v>3.3056384156917944</v>
      </c>
      <c r="H72" s="47">
        <f>Enteric_19!M71</f>
        <v>0.105</v>
      </c>
      <c r="I72" s="274">
        <f t="shared" si="17"/>
        <v>12.020503329788342</v>
      </c>
    </row>
    <row r="73" spans="1:9" x14ac:dyDescent="0.2">
      <c r="A73" s="271" t="str">
        <f>Enteric_19!A72</f>
        <v>Mature Males</v>
      </c>
      <c r="B73" s="208">
        <f>Nex_19!D73</f>
        <v>172.17332032614846</v>
      </c>
      <c r="C73" s="208">
        <f>Nex_19!B73</f>
        <v>540</v>
      </c>
      <c r="D73" s="272">
        <f>Enteric_19!J72</f>
        <v>58</v>
      </c>
      <c r="E73" s="273">
        <v>0.04</v>
      </c>
      <c r="F73" s="273">
        <v>0.08</v>
      </c>
      <c r="G73" s="274">
        <f t="shared" si="16"/>
        <v>3.9492546971287825</v>
      </c>
      <c r="H73" s="47">
        <f>Enteric_19!M72</f>
        <v>1.7999999999999999E-2</v>
      </c>
      <c r="I73" s="274">
        <f t="shared" si="17"/>
        <v>7.3134346243125599</v>
      </c>
    </row>
    <row r="74" spans="1:9" x14ac:dyDescent="0.2">
      <c r="A74" s="271" t="str">
        <f>Enteric_19!A73</f>
        <v xml:space="preserve"> Draft Bullocks</v>
      </c>
      <c r="B74" s="208">
        <f>Nex_19!D74</f>
        <v>115.45608841816582</v>
      </c>
      <c r="C74" s="208">
        <f>Nex_19!B74</f>
        <v>340</v>
      </c>
      <c r="D74" s="272">
        <f>Enteric_19!J73</f>
        <v>58</v>
      </c>
      <c r="E74" s="273">
        <v>0.04</v>
      </c>
      <c r="F74" s="273">
        <v>0.08</v>
      </c>
      <c r="G74" s="274">
        <f t="shared" si="16"/>
        <v>2.6482935836622103</v>
      </c>
      <c r="H74" s="47">
        <f>Enteric_19!M73</f>
        <v>3.4999999999999996E-2</v>
      </c>
      <c r="I74" s="274">
        <f t="shared" si="17"/>
        <v>7.7890987754770897</v>
      </c>
    </row>
    <row r="75" spans="1:9" x14ac:dyDescent="0.2">
      <c r="A75" s="271" t="str">
        <f>Enteric_19!A74</f>
        <v xml:space="preserve"> Bulls - Grazing</v>
      </c>
      <c r="B75" s="208">
        <f>Nex_19!D75</f>
        <v>141.45971193577074</v>
      </c>
      <c r="C75" s="208">
        <f>Nex_19!B75</f>
        <v>340</v>
      </c>
      <c r="D75" s="272">
        <f>Enteric_19!J74</f>
        <v>58</v>
      </c>
      <c r="E75" s="273">
        <v>0.04</v>
      </c>
      <c r="F75" s="273">
        <v>0.08</v>
      </c>
      <c r="G75" s="274">
        <f t="shared" si="16"/>
        <v>3.2447561025050509</v>
      </c>
      <c r="H75" s="47">
        <f>Enteric_19!M74</f>
        <v>7.6999999999999999E-2</v>
      </c>
      <c r="I75" s="274">
        <f t="shared" si="17"/>
        <v>9.5434003014854429</v>
      </c>
    </row>
    <row r="76" spans="1:9" x14ac:dyDescent="0.2">
      <c r="A76" s="271" t="str">
        <f>Enteric_19!A75</f>
        <v>Growing/Replacement</v>
      </c>
      <c r="B76" s="208">
        <f>Nex_19!D76</f>
        <v>99.576831897237824</v>
      </c>
      <c r="C76" s="208">
        <f>Nex_19!B76</f>
        <v>204.17266187050359</v>
      </c>
      <c r="D76" s="272">
        <f>Enteric_19!J75</f>
        <v>58.589928057553955</v>
      </c>
      <c r="E76" s="273">
        <v>0.04</v>
      </c>
      <c r="F76" s="273">
        <v>0.08</v>
      </c>
      <c r="G76" s="274">
        <f t="shared" si="16"/>
        <v>2.2547684619154862</v>
      </c>
      <c r="H76" s="47">
        <f>Enteric_19!M75</f>
        <v>0.41699999999999998</v>
      </c>
      <c r="I76" s="274">
        <f t="shared" si="17"/>
        <v>11.043439612623418</v>
      </c>
    </row>
    <row r="77" spans="1:9" x14ac:dyDescent="0.2">
      <c r="A77" s="271" t="str">
        <f>Enteric_19!A76</f>
        <v>Calves on forage</v>
      </c>
      <c r="B77" s="208">
        <f>Nex_19!D77</f>
        <v>68.448383315554338</v>
      </c>
      <c r="C77" s="208">
        <f>Nex_19!B77</f>
        <v>81.92307692307692</v>
      </c>
      <c r="D77" s="272">
        <f>Enteric_19!J76</f>
        <v>58.692307692307693</v>
      </c>
      <c r="E77" s="273">
        <v>0.04</v>
      </c>
      <c r="F77" s="273">
        <v>0.08</v>
      </c>
      <c r="G77" s="274">
        <f t="shared" si="16"/>
        <v>1.5464169252046107</v>
      </c>
      <c r="H77" s="47">
        <f>Enteric_19!M76</f>
        <v>0.182</v>
      </c>
      <c r="I77" s="274">
        <f t="shared" si="17"/>
        <v>18.876450730197124</v>
      </c>
    </row>
    <row r="78" spans="1:9" x14ac:dyDescent="0.2">
      <c r="A78" s="233" t="str">
        <f>Enteric_19!A77</f>
        <v>Africa_low productivity systems</v>
      </c>
      <c r="B78" s="279"/>
      <c r="C78" s="279"/>
      <c r="D78" s="280"/>
      <c r="E78" s="281"/>
      <c r="F78" s="281"/>
      <c r="G78" s="282">
        <f>SUMPRODUCT(G79:G84,H79:H84)</f>
        <v>2.3511889201973388</v>
      </c>
      <c r="H78" s="283"/>
      <c r="I78" s="234">
        <f>SUMPRODUCT(I79:I84,H79:H84)</f>
        <v>12.660047078160236</v>
      </c>
    </row>
    <row r="79" spans="1:9" x14ac:dyDescent="0.2">
      <c r="A79" s="271" t="str">
        <f>Enteric_19!A78</f>
        <v xml:space="preserve"> Mature Females</v>
      </c>
      <c r="B79" s="208">
        <f>Nex_19!D79</f>
        <v>131.61990340201052</v>
      </c>
      <c r="C79" s="208">
        <f>Nex_19!B79</f>
        <v>275</v>
      </c>
      <c r="D79" s="272">
        <f>Enteric_19!J78</f>
        <v>58</v>
      </c>
      <c r="E79" s="273">
        <v>0.04</v>
      </c>
      <c r="F79" s="273">
        <v>0.08</v>
      </c>
      <c r="G79" s="274">
        <f t="shared" ref="G79:G84" si="18">(B79*(1-D79/100)+(E79*B79))*((1-F79)/18.45)</f>
        <v>3.019053827627689</v>
      </c>
      <c r="H79" s="47">
        <f>Enteric_19!M78</f>
        <v>7.0000000000000007E-2</v>
      </c>
      <c r="I79" s="274">
        <f t="shared" ref="I79:I84" si="19">G79*1000/C79</f>
        <v>10.978377555009777</v>
      </c>
    </row>
    <row r="80" spans="1:9" x14ac:dyDescent="0.2">
      <c r="A80" s="271" t="str">
        <f>Enteric_19!A79</f>
        <v xml:space="preserve"> Mature Females-Grazing</v>
      </c>
      <c r="B80" s="208">
        <f>Nex_19!D80</f>
        <v>144.11396212077881</v>
      </c>
      <c r="C80" s="208">
        <f>Nex_19!B80</f>
        <v>275</v>
      </c>
      <c r="D80" s="272">
        <f>Enteric_19!J79</f>
        <v>58</v>
      </c>
      <c r="E80" s="273">
        <v>0.04</v>
      </c>
      <c r="F80" s="273">
        <v>0.08</v>
      </c>
      <c r="G80" s="274">
        <f t="shared" si="18"/>
        <v>3.3056384156917944</v>
      </c>
      <c r="H80" s="47">
        <f>Enteric_19!M79</f>
        <v>0.15</v>
      </c>
      <c r="I80" s="274">
        <f t="shared" si="19"/>
        <v>12.020503329788342</v>
      </c>
    </row>
    <row r="81" spans="1:9" x14ac:dyDescent="0.2">
      <c r="A81" s="271" t="str">
        <f>Enteric_19!A80</f>
        <v xml:space="preserve"> Draft Bullocks</v>
      </c>
      <c r="B81" s="208">
        <f>Nex_19!D81</f>
        <v>100.47800127202541</v>
      </c>
      <c r="C81" s="208">
        <f>Nex_19!B81</f>
        <v>340</v>
      </c>
      <c r="D81" s="272">
        <f>Enteric_19!J80</f>
        <v>58</v>
      </c>
      <c r="E81" s="273">
        <v>0.04</v>
      </c>
      <c r="F81" s="273">
        <v>0.08</v>
      </c>
      <c r="G81" s="274">
        <f t="shared" si="18"/>
        <v>2.3047311728087347</v>
      </c>
      <c r="H81" s="47">
        <f>Enteric_19!M80</f>
        <v>0.05</v>
      </c>
      <c r="I81" s="274">
        <f t="shared" si="19"/>
        <v>6.7786210964962788</v>
      </c>
    </row>
    <row r="82" spans="1:9" x14ac:dyDescent="0.2">
      <c r="A82" s="271" t="str">
        <f>Enteric_19!A81</f>
        <v xml:space="preserve"> Bulls - Grazing</v>
      </c>
      <c r="B82" s="208">
        <f>Nex_19!D82</f>
        <v>141.45971193577074</v>
      </c>
      <c r="C82" s="208">
        <f>Nex_19!B82</f>
        <v>340</v>
      </c>
      <c r="D82" s="272">
        <f>Enteric_19!J81</f>
        <v>58</v>
      </c>
      <c r="E82" s="273">
        <v>0.04</v>
      </c>
      <c r="F82" s="273">
        <v>0.08</v>
      </c>
      <c r="G82" s="274">
        <f t="shared" si="18"/>
        <v>3.2447561025050509</v>
      </c>
      <c r="H82" s="47">
        <f>Enteric_19!M81</f>
        <v>0.11</v>
      </c>
      <c r="I82" s="274">
        <f t="shared" si="19"/>
        <v>9.5434003014854429</v>
      </c>
    </row>
    <row r="83" spans="1:9" x14ac:dyDescent="0.2">
      <c r="A83" s="271" t="str">
        <f>Enteric_19!A82</f>
        <v>Growing/Replacement</v>
      </c>
      <c r="B83" s="208">
        <f>Nex_19!D83</f>
        <v>90.66801537677695</v>
      </c>
      <c r="C83" s="208">
        <f>Nex_19!B83</f>
        <v>185</v>
      </c>
      <c r="D83" s="272">
        <f>Enteric_19!J82</f>
        <v>58</v>
      </c>
      <c r="E83" s="273">
        <v>0.04</v>
      </c>
      <c r="F83" s="273">
        <v>0.08</v>
      </c>
      <c r="G83" s="274">
        <f t="shared" si="18"/>
        <v>2.0797129597534965</v>
      </c>
      <c r="H83" s="47">
        <f>Enteric_19!M82</f>
        <v>0.42</v>
      </c>
      <c r="I83" s="274">
        <f t="shared" si="19"/>
        <v>11.241691674343222</v>
      </c>
    </row>
    <row r="84" spans="1:9" x14ac:dyDescent="0.2">
      <c r="A84" s="271" t="str">
        <f>Enteric_19!A83</f>
        <v>Calves on forage</v>
      </c>
      <c r="B84" s="208">
        <f>Nex_19!D84</f>
        <v>65.039349028270166</v>
      </c>
      <c r="C84" s="208">
        <f>Nex_19!B84</f>
        <v>75</v>
      </c>
      <c r="D84" s="272">
        <f>Enteric_19!J83</f>
        <v>58</v>
      </c>
      <c r="E84" s="273">
        <v>0.04</v>
      </c>
      <c r="F84" s="273">
        <v>0.08</v>
      </c>
      <c r="G84" s="274">
        <f t="shared" si="18"/>
        <v>1.4918510844858504</v>
      </c>
      <c r="H84" s="47">
        <f>Enteric_19!M83</f>
        <v>0.2</v>
      </c>
      <c r="I84" s="274">
        <f t="shared" si="19"/>
        <v>19.891347793144671</v>
      </c>
    </row>
    <row r="85" spans="1:9" x14ac:dyDescent="0.2">
      <c r="A85" s="233" t="str">
        <f>Enteric_19!A84</f>
        <v>Africa_high productivity systems</v>
      </c>
      <c r="B85" s="279"/>
      <c r="C85" s="279"/>
      <c r="D85" s="280"/>
      <c r="E85" s="281"/>
      <c r="F85" s="281"/>
      <c r="G85" s="282">
        <f>SUMPRODUCT(G86:G89,H86:H89)</f>
        <v>2.8453988824973013</v>
      </c>
      <c r="H85" s="283"/>
      <c r="I85" s="234">
        <f>SUMPRODUCT(I86:I89,H86:H89)</f>
        <v>10.17948694373808</v>
      </c>
    </row>
    <row r="86" spans="1:9" x14ac:dyDescent="0.2">
      <c r="A86" s="271" t="str">
        <f>Enteric_19!A85</f>
        <v xml:space="preserve"> Mature Females</v>
      </c>
      <c r="B86" s="208">
        <f>Nex_19!D86</f>
        <v>166.34614332555674</v>
      </c>
      <c r="C86" s="208">
        <f>Nex_19!B86</f>
        <v>390</v>
      </c>
      <c r="D86" s="272">
        <f>Enteric_19!J85</f>
        <v>61</v>
      </c>
      <c r="E86" s="273">
        <v>0.04</v>
      </c>
      <c r="F86" s="273">
        <v>0.08</v>
      </c>
      <c r="G86" s="274">
        <f>(B86*(1-D86/100)+(E86*B86))*((1-F86)/18.45)</f>
        <v>3.5667498265360571</v>
      </c>
      <c r="H86" s="47">
        <f>Enteric_19!M85</f>
        <v>0.39</v>
      </c>
      <c r="I86" s="274">
        <f t="shared" ref="I86:I89" si="20">G86*1000/C86</f>
        <v>9.14551237573348</v>
      </c>
    </row>
    <row r="87" spans="1:9" x14ac:dyDescent="0.2">
      <c r="A87" s="271" t="str">
        <f>Enteric_19!A86</f>
        <v>Mature Males</v>
      </c>
      <c r="B87" s="208">
        <f>Nex_19!D87</f>
        <v>172.17332032614846</v>
      </c>
      <c r="C87" s="208">
        <f>Nex_19!B87</f>
        <v>540</v>
      </c>
      <c r="D87" s="272">
        <f>Enteric_19!J86</f>
        <v>58</v>
      </c>
      <c r="E87" s="273">
        <v>0.04</v>
      </c>
      <c r="F87" s="273">
        <v>0.08</v>
      </c>
      <c r="G87" s="274">
        <f>(B87*(1-D87/100)+(E87*B87))*((1-F87)/18.45)</f>
        <v>3.9492546971287825</v>
      </c>
      <c r="H87" s="47">
        <f>Enteric_19!M86</f>
        <v>0.06</v>
      </c>
      <c r="I87" s="274">
        <f t="shared" si="20"/>
        <v>7.3134346243125599</v>
      </c>
    </row>
    <row r="88" spans="1:9" x14ac:dyDescent="0.2">
      <c r="A88" s="271" t="str">
        <f>Enteric_19!A87</f>
        <v>Growing/Replacement</v>
      </c>
      <c r="B88" s="208">
        <f>Nex_19!D88</f>
        <v>109.08613198359386</v>
      </c>
      <c r="C88" s="208">
        <f>Nex_19!B88</f>
        <v>250</v>
      </c>
      <c r="D88" s="272">
        <f>Enteric_19!J87</f>
        <v>60</v>
      </c>
      <c r="E88" s="273">
        <v>0.04</v>
      </c>
      <c r="F88" s="273">
        <v>0.08</v>
      </c>
      <c r="G88" s="274">
        <f>(B88*(1-D88/100)+(E88*B88))*((1-F88)/18.45)</f>
        <v>2.393391123412401</v>
      </c>
      <c r="H88" s="47">
        <f>Enteric_19!M87</f>
        <v>0.41</v>
      </c>
      <c r="I88" s="274">
        <f t="shared" si="20"/>
        <v>9.573564493649604</v>
      </c>
    </row>
    <row r="89" spans="1:9" x14ac:dyDescent="0.2">
      <c r="A89" s="271" t="str">
        <f>Enteric_19!A88</f>
        <v>Calves on forage</v>
      </c>
      <c r="B89" s="208">
        <f>Nex_19!D89</f>
        <v>78.658618056845697</v>
      </c>
      <c r="C89" s="208">
        <f>Nex_19!B89</f>
        <v>105</v>
      </c>
      <c r="D89" s="272">
        <f>Enteric_19!J88</f>
        <v>61</v>
      </c>
      <c r="E89" s="273">
        <v>0.04</v>
      </c>
      <c r="F89" s="273">
        <v>0.08</v>
      </c>
      <c r="G89" s="274">
        <f>(B89*(1-D89/100)+(E89*B89))*((1-F89)/18.45)</f>
        <v>1.6865771980101985</v>
      </c>
      <c r="H89" s="47">
        <f>Enteric_19!M88</f>
        <v>0.14000000000000001</v>
      </c>
      <c r="I89" s="274">
        <f t="shared" si="20"/>
        <v>16.062639981049507</v>
      </c>
    </row>
    <row r="90" spans="1:9" x14ac:dyDescent="0.2">
      <c r="A90" s="235" t="str">
        <f>Enteric_19!A89</f>
        <v>Indian Subcontinent</v>
      </c>
      <c r="B90" s="236"/>
      <c r="C90" s="236"/>
      <c r="D90" s="237"/>
      <c r="E90" s="238"/>
      <c r="F90" s="238"/>
      <c r="G90" s="287">
        <f>SUMPRODUCT(G91:G95,H91:H95)</f>
        <v>2.4383663533025302</v>
      </c>
      <c r="H90" s="288"/>
      <c r="I90" s="289">
        <f>SUMPRODUCT(I91:I95,H91:H95)</f>
        <v>12.177055460803693</v>
      </c>
    </row>
    <row r="91" spans="1:9" x14ac:dyDescent="0.2">
      <c r="A91" s="271" t="str">
        <f>Enteric_19!A90</f>
        <v xml:space="preserve"> Mature Females</v>
      </c>
      <c r="B91" s="208">
        <f>Nex_19!D91</f>
        <v>134.78324272511401</v>
      </c>
      <c r="C91" s="208">
        <f>Nex_19!B91</f>
        <v>252.87671232876713</v>
      </c>
      <c r="D91" s="272">
        <f>Enteric_19!J90</f>
        <v>55.287671232876711</v>
      </c>
      <c r="E91" s="273">
        <v>0.04</v>
      </c>
      <c r="F91" s="273">
        <v>0.08</v>
      </c>
      <c r="G91" s="274">
        <f>(B91*(1-D91/100)+(E91*B91))*((1-F91)/18.45)</f>
        <v>3.2739063313662617</v>
      </c>
      <c r="H91" s="47">
        <f>Enteric_19!M90</f>
        <v>0.219</v>
      </c>
      <c r="I91" s="274">
        <f t="shared" ref="I91:I95" si="21">G91*1000/C91</f>
        <v>12.946650172791825</v>
      </c>
    </row>
    <row r="92" spans="1:9" x14ac:dyDescent="0.2">
      <c r="A92" s="271" t="str">
        <f>Enteric_19!A91</f>
        <v xml:space="preserve"> Mature Males</v>
      </c>
      <c r="B92" s="208">
        <f>Nex_19!D92</f>
        <v>115.24042863908988</v>
      </c>
      <c r="C92" s="208">
        <f>Nex_19!B92</f>
        <v>308.89570552147234</v>
      </c>
      <c r="D92" s="272">
        <f>Enteric_19!J91</f>
        <v>57.361963190184042</v>
      </c>
      <c r="E92" s="273">
        <v>0.04</v>
      </c>
      <c r="F92" s="273">
        <v>0.08</v>
      </c>
      <c r="G92" s="274">
        <f>(B92*(1-D92/100)+(E92*B92))*((1-F92)/18.45)</f>
        <v>2.6800110377349249</v>
      </c>
      <c r="H92" s="47">
        <f>Enteric_19!M91</f>
        <v>3.2600000000000004E-2</v>
      </c>
      <c r="I92" s="274">
        <f t="shared" si="21"/>
        <v>8.6761032601944947</v>
      </c>
    </row>
    <row r="93" spans="1:9" x14ac:dyDescent="0.2">
      <c r="A93" s="271" t="str">
        <f>Enteric_19!A92</f>
        <v>Draft bullocks</v>
      </c>
      <c r="B93" s="208">
        <f>Nex_19!D93</f>
        <v>102.37886860201898</v>
      </c>
      <c r="C93" s="208">
        <f>Nex_19!B93</f>
        <v>290</v>
      </c>
      <c r="D93" s="272">
        <f>Enteric_19!J92</f>
        <v>55</v>
      </c>
      <c r="E93" s="273">
        <v>0.04</v>
      </c>
      <c r="F93" s="273">
        <v>0.08</v>
      </c>
      <c r="G93" s="274">
        <f>(B93*(1-D93/100)+(E93*B93))*((1-F93)/18.45)</f>
        <v>2.5014847677935044</v>
      </c>
      <c r="H93" s="47">
        <f>Enteric_19!M92</f>
        <v>0.43</v>
      </c>
      <c r="I93" s="274">
        <f t="shared" si="21"/>
        <v>8.6258095441155334</v>
      </c>
    </row>
    <row r="94" spans="1:9" x14ac:dyDescent="0.2">
      <c r="A94" s="271" t="str">
        <f>Enteric_19!A93</f>
        <v>Replacement/growing</v>
      </c>
      <c r="B94" s="208">
        <f>Nex_19!D94</f>
        <v>86.356131101146602</v>
      </c>
      <c r="C94" s="208">
        <f>Nex_19!B94</f>
        <v>152.18905472636817</v>
      </c>
      <c r="D94" s="272">
        <f>Enteric_19!J93</f>
        <v>56.523631840796021</v>
      </c>
      <c r="E94" s="273">
        <v>0.04</v>
      </c>
      <c r="F94" s="273">
        <v>0.08</v>
      </c>
      <c r="G94" s="274">
        <f>(B94*(1-D94/100)+(E94*B94))*((1-F94)/18.45)</f>
        <v>2.0443823496615283</v>
      </c>
      <c r="H94" s="47">
        <f>Enteric_19!M93</f>
        <v>0.1608</v>
      </c>
      <c r="I94" s="274">
        <f t="shared" si="21"/>
        <v>13.433175949067248</v>
      </c>
    </row>
    <row r="95" spans="1:9" x14ac:dyDescent="0.2">
      <c r="A95" s="271" t="str">
        <f>Enteric_19!A94</f>
        <v>Calves on forage</v>
      </c>
      <c r="B95" s="208">
        <f>Nex_19!D95</f>
        <v>62.170637344319964</v>
      </c>
      <c r="C95" s="208">
        <f>Nex_19!B95</f>
        <v>71.992385786802032</v>
      </c>
      <c r="D95" s="272">
        <f>Enteric_19!J94</f>
        <v>56.998730964467008</v>
      </c>
      <c r="E95" s="273">
        <v>0.04</v>
      </c>
      <c r="F95" s="273">
        <v>0.08</v>
      </c>
      <c r="G95" s="274">
        <f>(B95*(1-D95/100)+(E95*B95))*((1-F95)/18.45)</f>
        <v>1.4570899424262669</v>
      </c>
      <c r="H95" s="47">
        <f>Enteric_19!M94</f>
        <v>0.15760000000000002</v>
      </c>
      <c r="I95" s="274">
        <f t="shared" si="21"/>
        <v>20.239500698605646</v>
      </c>
    </row>
    <row r="96" spans="1:9" x14ac:dyDescent="0.2">
      <c r="A96" s="233" t="str">
        <f>Enteric_19!A95</f>
        <v>India_low productivity systems</v>
      </c>
      <c r="B96" s="279"/>
      <c r="C96" s="279"/>
      <c r="D96" s="280"/>
      <c r="E96" s="281"/>
      <c r="F96" s="281"/>
      <c r="G96" s="282">
        <f>SUMPRODUCT(G97:G101,H97:H101)</f>
        <v>2.5041138949644637</v>
      </c>
      <c r="H96" s="283"/>
      <c r="I96" s="234">
        <f>SUMPRODUCT(I97:I101,H97:H101)</f>
        <v>12.029725947518584</v>
      </c>
    </row>
    <row r="97" spans="1:9" x14ac:dyDescent="0.2">
      <c r="A97" s="271" t="str">
        <f>Enteric_19!A96</f>
        <v xml:space="preserve"> Mature Females</v>
      </c>
      <c r="B97" s="208">
        <f>Nex_19!D97</f>
        <v>134.65526889574082</v>
      </c>
      <c r="C97" s="208">
        <f>Nex_19!B97</f>
        <v>250</v>
      </c>
      <c r="D97" s="272">
        <f>Enteric_19!J96</f>
        <v>55</v>
      </c>
      <c r="E97" s="273">
        <v>0.04</v>
      </c>
      <c r="F97" s="273">
        <v>0.08</v>
      </c>
      <c r="G97" s="274">
        <f>(B97*(1-D97/100)+(E97*B97))*((1-F97)/18.45)</f>
        <v>3.2901135619620572</v>
      </c>
      <c r="H97" s="47">
        <f>Enteric_19!M96</f>
        <v>0.24</v>
      </c>
      <c r="I97" s="274">
        <f t="shared" ref="I97:I101" si="22">G97*1000/C97</f>
        <v>13.160454247848229</v>
      </c>
    </row>
    <row r="98" spans="1:9" x14ac:dyDescent="0.2">
      <c r="A98" s="271" t="str">
        <f>Enteric_19!A97</f>
        <v xml:space="preserve"> Mature Males</v>
      </c>
      <c r="B98" s="208">
        <f>Nex_19!D98</f>
        <v>117.64031485325162</v>
      </c>
      <c r="C98" s="208">
        <f>Nex_19!B98</f>
        <v>290</v>
      </c>
      <c r="D98" s="272">
        <f>Enteric_19!J97</f>
        <v>55</v>
      </c>
      <c r="E98" s="273">
        <v>0.04</v>
      </c>
      <c r="F98" s="273">
        <v>0.08</v>
      </c>
      <c r="G98" s="274">
        <f>(B98*(1-D98/100)+(E98*B98))*((1-F98)/18.45)</f>
        <v>2.8743769070919147</v>
      </c>
      <c r="H98" s="47">
        <f>Enteric_19!M97</f>
        <v>0.02</v>
      </c>
      <c r="I98" s="274">
        <f t="shared" si="22"/>
        <v>9.9116445072134987</v>
      </c>
    </row>
    <row r="99" spans="1:9" x14ac:dyDescent="0.2">
      <c r="A99" s="271" t="str">
        <f>Enteric_19!A98</f>
        <v>Draft bullocks</v>
      </c>
      <c r="B99" s="208">
        <f>Nex_19!D99</f>
        <v>102.37886860201898</v>
      </c>
      <c r="C99" s="208">
        <f>Nex_19!B99</f>
        <v>290</v>
      </c>
      <c r="D99" s="272">
        <f>Enteric_19!J98</f>
        <v>55</v>
      </c>
      <c r="E99" s="273">
        <v>0.04</v>
      </c>
      <c r="F99" s="273">
        <v>0.08</v>
      </c>
      <c r="G99" s="274">
        <f>(B99*(1-D99/100)+(E99*B99))*((1-F99)/18.45)</f>
        <v>2.5014847677935044</v>
      </c>
      <c r="H99" s="47">
        <f>Enteric_19!M98</f>
        <v>0.5</v>
      </c>
      <c r="I99" s="274">
        <f t="shared" si="22"/>
        <v>8.6258095441155334</v>
      </c>
    </row>
    <row r="100" spans="1:9" x14ac:dyDescent="0.2">
      <c r="A100" s="271" t="str">
        <f>Enteric_19!A99</f>
        <v>Replacement/growing</v>
      </c>
      <c r="B100" s="208">
        <f>Nex_19!D100</f>
        <v>79.695075873067196</v>
      </c>
      <c r="C100" s="208">
        <f>Nex_19!B100</f>
        <v>140</v>
      </c>
      <c r="D100" s="272">
        <f>Enteric_19!J99</f>
        <v>55</v>
      </c>
      <c r="E100" s="273">
        <v>0.04</v>
      </c>
      <c r="F100" s="273">
        <v>0.08</v>
      </c>
      <c r="G100" s="274">
        <f>(B100*(1-D100/100)+(E100*B100))*((1-F100)/18.45)</f>
        <v>1.9472379514134792</v>
      </c>
      <c r="H100" s="47">
        <f>Enteric_19!M99</f>
        <v>0.13</v>
      </c>
      <c r="I100" s="274">
        <f t="shared" si="22"/>
        <v>13.908842510096282</v>
      </c>
    </row>
    <row r="101" spans="1:9" x14ac:dyDescent="0.2">
      <c r="A101" s="271" t="str">
        <f>Enteric_19!A100</f>
        <v>Calves on forage</v>
      </c>
      <c r="B101" s="208">
        <f>Nex_19!D101</f>
        <v>56.969150230885369</v>
      </c>
      <c r="C101" s="208">
        <f>Nex_19!B101</f>
        <v>60</v>
      </c>
      <c r="D101" s="272">
        <f>Enteric_19!J100</f>
        <v>55</v>
      </c>
      <c r="E101" s="273">
        <v>0.04</v>
      </c>
      <c r="F101" s="273">
        <v>0.08</v>
      </c>
      <c r="G101" s="274">
        <f>(B101*(1-D101/100)+(E101*B101))*((1-F101)/18.45)</f>
        <v>1.3919616761020663</v>
      </c>
      <c r="H101" s="47">
        <f>Enteric_19!M100</f>
        <v>0.11</v>
      </c>
      <c r="I101" s="274">
        <f t="shared" si="22"/>
        <v>23.199361268367774</v>
      </c>
    </row>
    <row r="102" spans="1:9" x14ac:dyDescent="0.2">
      <c r="A102" s="233" t="str">
        <f>Enteric_19!A101</f>
        <v>India_high productivity systems</v>
      </c>
      <c r="B102" s="279"/>
      <c r="C102" s="279"/>
      <c r="D102" s="280"/>
      <c r="E102" s="281"/>
      <c r="F102" s="281"/>
      <c r="G102" s="282">
        <f>SUMPRODUCT(G103:G106,H103:H106)</f>
        <v>1.9813487252778148</v>
      </c>
      <c r="H102" s="283"/>
      <c r="I102" s="234">
        <f>SUMPRODUCT(I103:I106,H103:H106)</f>
        <v>13.470911571311525</v>
      </c>
    </row>
    <row r="103" spans="1:9" x14ac:dyDescent="0.2">
      <c r="A103" s="271" t="str">
        <f>Enteric_19!A102</f>
        <v xml:space="preserve"> Mature Females</v>
      </c>
      <c r="B103" s="208">
        <f>Nex_19!D103</f>
        <v>139.29034968064829</v>
      </c>
      <c r="C103" s="208">
        <f>Nex_19!B103</f>
        <v>300</v>
      </c>
      <c r="D103" s="272">
        <f>Enteric_19!J102</f>
        <v>60</v>
      </c>
      <c r="E103" s="273">
        <v>0.04</v>
      </c>
      <c r="F103" s="273">
        <v>0.08</v>
      </c>
      <c r="G103" s="274">
        <f>(B103*(1-D103/100)+(E103*B103))*((1-F103)/18.45)</f>
        <v>3.0560831192805655</v>
      </c>
      <c r="H103" s="47">
        <f>Enteric_19!M102</f>
        <v>0.09</v>
      </c>
      <c r="I103" s="274">
        <f t="shared" ref="I103:I106" si="23">G103*1000/C103</f>
        <v>10.186943730935218</v>
      </c>
    </row>
    <row r="104" spans="1:9" x14ac:dyDescent="0.2">
      <c r="A104" s="271" t="str">
        <f>Enteric_19!A103</f>
        <v xml:space="preserve"> Mature Males</v>
      </c>
      <c r="B104" s="208">
        <f>Nex_19!D104</f>
        <v>112.9262995448822</v>
      </c>
      <c r="C104" s="208">
        <f>Nex_19!B104</f>
        <v>330</v>
      </c>
      <c r="D104" s="272">
        <f>Enteric_19!J103</f>
        <v>60</v>
      </c>
      <c r="E104" s="273">
        <v>0.04</v>
      </c>
      <c r="F104" s="273">
        <v>0.08</v>
      </c>
      <c r="G104" s="274">
        <f>(B104*(1-D104/100)+(E104*B104))*((1-F104)/18.45)</f>
        <v>2.4776458566812098</v>
      </c>
      <c r="H104" s="47">
        <f>Enteric_19!M103</f>
        <v>0.11</v>
      </c>
      <c r="I104" s="274">
        <f t="shared" si="23"/>
        <v>7.5080177475188172</v>
      </c>
    </row>
    <row r="105" spans="1:9" x14ac:dyDescent="0.2">
      <c r="A105" s="271" t="str">
        <f>Enteric_19!A104</f>
        <v>Replacement/growing</v>
      </c>
      <c r="B105" s="208">
        <f>Nex_19!D105</f>
        <v>98.506378021678032</v>
      </c>
      <c r="C105" s="208">
        <f>Nex_19!B105</f>
        <v>180</v>
      </c>
      <c r="D105" s="272">
        <f>Enteric_19!J104</f>
        <v>60</v>
      </c>
      <c r="E105" s="273">
        <v>0.04</v>
      </c>
      <c r="F105" s="273">
        <v>0.08</v>
      </c>
      <c r="G105" s="274">
        <f>(B105*(1-D105/100)+(E105*B105))*((1-F105)/18.45)</f>
        <v>2.1612673074891746</v>
      </c>
      <c r="H105" s="47">
        <f>Enteric_19!M104</f>
        <v>0.35</v>
      </c>
      <c r="I105" s="274">
        <f t="shared" si="23"/>
        <v>12.007040597162081</v>
      </c>
    </row>
    <row r="106" spans="1:9" x14ac:dyDescent="0.2">
      <c r="A106" s="271" t="str">
        <f>Enteric_19!A105</f>
        <v>Calves on forage</v>
      </c>
      <c r="B106" s="208">
        <f>Nex_19!D106</f>
        <v>68.601735054701621</v>
      </c>
      <c r="C106" s="208">
        <f>Nex_19!B106</f>
        <v>90</v>
      </c>
      <c r="D106" s="272">
        <f>Enteric_19!J105</f>
        <v>60</v>
      </c>
      <c r="E106" s="273">
        <v>0.04</v>
      </c>
      <c r="F106" s="273">
        <v>0.08</v>
      </c>
      <c r="G106" s="274">
        <f>(B106*(1-D106/100)+(E106*B106))*((1-F106)/18.45)</f>
        <v>1.505148094858711</v>
      </c>
      <c r="H106" s="47">
        <f>Enteric_19!M105</f>
        <v>0.45</v>
      </c>
      <c r="I106" s="274">
        <f t="shared" si="23"/>
        <v>16.723867720652347</v>
      </c>
    </row>
    <row r="107" spans="1:9" x14ac:dyDescent="0.2">
      <c r="A107" s="235" t="str">
        <f>Enteric_19!A106</f>
        <v>Middle East</v>
      </c>
      <c r="B107" s="236"/>
      <c r="C107" s="236"/>
      <c r="D107" s="237"/>
      <c r="E107" s="238"/>
      <c r="F107" s="238"/>
      <c r="G107" s="287">
        <f>SUMPRODUCT(G108:G111,H108:H111)</f>
        <v>2.922744293049258</v>
      </c>
      <c r="H107" s="288"/>
      <c r="I107" s="289">
        <f>SUMPRODUCT(I108:I111,H108:H111)</f>
        <v>12.307057524793503</v>
      </c>
    </row>
    <row r="108" spans="1:9" x14ac:dyDescent="0.2">
      <c r="A108" s="271" t="str">
        <f>Enteric_19!A107</f>
        <v xml:space="preserve"> Mature Females</v>
      </c>
      <c r="B108" s="208">
        <f>Nex_19!D108</f>
        <v>153.89485767415286</v>
      </c>
      <c r="C108" s="208">
        <f>Nex_19!B108</f>
        <v>372.02247191011236</v>
      </c>
      <c r="D108" s="272">
        <f>Enteric_19!J107</f>
        <v>61.235955056179776</v>
      </c>
      <c r="E108" s="273">
        <v>0.04</v>
      </c>
      <c r="F108" s="273">
        <v>0.08</v>
      </c>
      <c r="G108" s="274">
        <f>(B108*(1-D108/100)+(E108*B108))*((1-F108)/18.45)</f>
        <v>3.2816657351676239</v>
      </c>
      <c r="H108" s="47">
        <f>Enteric_19!M107</f>
        <v>0.26700000000000002</v>
      </c>
      <c r="I108" s="274">
        <f t="shared" ref="I108:I111" si="24">G108*1000/C108</f>
        <v>8.8211492126221245</v>
      </c>
    </row>
    <row r="109" spans="1:9" x14ac:dyDescent="0.2">
      <c r="A109" s="271" t="str">
        <f>Enteric_19!A108</f>
        <v xml:space="preserve"> Mature Males</v>
      </c>
      <c r="B109" s="208">
        <f>Nex_19!D109</f>
        <v>164.11163555523405</v>
      </c>
      <c r="C109" s="208">
        <f>Nex_19!B109</f>
        <v>518.67052023121391</v>
      </c>
      <c r="D109" s="272">
        <f>Enteric_19!J108</f>
        <v>58.662427745664743</v>
      </c>
      <c r="E109" s="273">
        <v>0.04</v>
      </c>
      <c r="F109" s="273">
        <v>0.08</v>
      </c>
      <c r="G109" s="274">
        <f>(B109*(1-D109/100)+(E109*B109))*((1-F109)/18.45)</f>
        <v>3.7101296932149346</v>
      </c>
      <c r="H109" s="47">
        <f>Enteric_19!M108</f>
        <v>8.6500000000000007E-2</v>
      </c>
      <c r="I109" s="274">
        <f t="shared" si="24"/>
        <v>7.1531532032339644</v>
      </c>
    </row>
    <row r="110" spans="1:9" x14ac:dyDescent="0.2">
      <c r="A110" s="271" t="str">
        <f>Enteric_19!A109</f>
        <v>Replacement/growing</v>
      </c>
      <c r="B110" s="208">
        <f>Nex_19!D110</f>
        <v>124.36739959287011</v>
      </c>
      <c r="C110" s="208">
        <f>Nex_19!B110</f>
        <v>249.5</v>
      </c>
      <c r="D110" s="272">
        <f>Enteric_19!J109</f>
        <v>57.64</v>
      </c>
      <c r="E110" s="273">
        <v>0.04</v>
      </c>
      <c r="F110" s="273">
        <v>0.08</v>
      </c>
      <c r="G110" s="274">
        <f>(B110*(1-D110/100)+(E110*B110))*((1-F110)/18.45)</f>
        <v>2.8750237580029383</v>
      </c>
      <c r="H110" s="47">
        <f>Enteric_19!M109</f>
        <v>0.42</v>
      </c>
      <c r="I110" s="274">
        <f t="shared" si="24"/>
        <v>11.523141314641036</v>
      </c>
    </row>
    <row r="111" spans="1:9" x14ac:dyDescent="0.2">
      <c r="A111" s="271" t="str">
        <f>Enteric_19!A110</f>
        <v>Calves on forage</v>
      </c>
      <c r="B111" s="208">
        <f>Nex_19!D111</f>
        <v>99.789904910528591</v>
      </c>
      <c r="C111" s="208">
        <f>Nex_19!B111</f>
        <v>115.30463576158941</v>
      </c>
      <c r="D111" s="272">
        <f>Enteric_19!J110</f>
        <v>58.030463576158944</v>
      </c>
      <c r="E111" s="273">
        <v>0.04</v>
      </c>
      <c r="F111" s="273">
        <v>0.08</v>
      </c>
      <c r="G111" s="274">
        <f>(B111*(1-D111/100)+(E111*B111))*((1-F111)/18.45)</f>
        <v>2.2874319864687727</v>
      </c>
      <c r="H111" s="47">
        <f>Enteric_19!M110</f>
        <v>0.22649999999999998</v>
      </c>
      <c r="I111" s="274">
        <f t="shared" si="24"/>
        <v>19.838161504611147</v>
      </c>
    </row>
    <row r="112" spans="1:9" x14ac:dyDescent="0.2">
      <c r="A112" s="233" t="str">
        <f>Enteric_19!A111</f>
        <v>Middle East_low productivity systems</v>
      </c>
      <c r="B112" s="279"/>
      <c r="C112" s="279"/>
      <c r="D112" s="280"/>
      <c r="E112" s="281"/>
      <c r="F112" s="281"/>
      <c r="G112" s="282">
        <f>SUMPRODUCT(G113:G116,H113:H116)</f>
        <v>2.8545608774224487</v>
      </c>
      <c r="H112" s="283"/>
      <c r="I112" s="234">
        <f>SUMPRODUCT(I113:I116,H113:H116)</f>
        <v>14.543174743166793</v>
      </c>
    </row>
    <row r="113" spans="1:9" x14ac:dyDescent="0.2">
      <c r="A113" s="271" t="str">
        <f>Enteric_19!A112</f>
        <v xml:space="preserve"> Mature Females</v>
      </c>
      <c r="B113" s="208">
        <f>Nex_19!D113</f>
        <v>146.01393298165567</v>
      </c>
      <c r="C113" s="208">
        <f>Nex_19!B113</f>
        <v>330</v>
      </c>
      <c r="D113" s="272">
        <f>Enteric_19!J112</f>
        <v>60</v>
      </c>
      <c r="E113" s="273">
        <v>0.04</v>
      </c>
      <c r="F113" s="273">
        <v>0.08</v>
      </c>
      <c r="G113" s="274">
        <f>(B113*(1-D113/100)+(E113*B113))*((1-F113)/18.45)</f>
        <v>3.2036010878576815</v>
      </c>
      <c r="H113" s="47">
        <f>Enteric_19!M112</f>
        <v>0.3</v>
      </c>
      <c r="I113" s="274">
        <f t="shared" ref="I113:I116" si="25">G113*1000/C113</f>
        <v>9.7078820844172178</v>
      </c>
    </row>
    <row r="114" spans="1:9" x14ac:dyDescent="0.2">
      <c r="A114" s="271" t="str">
        <f>Enteric_19!A113</f>
        <v xml:space="preserve"> Mature Males</v>
      </c>
      <c r="B114" s="208">
        <f>Nex_19!D114</f>
        <v>187.32079906595328</v>
      </c>
      <c r="C114" s="208">
        <f>Nex_19!B114</f>
        <v>450</v>
      </c>
      <c r="D114" s="272">
        <f>Enteric_19!J113</f>
        <v>55</v>
      </c>
      <c r="E114" s="273">
        <v>0.04</v>
      </c>
      <c r="F114" s="273">
        <v>0.08</v>
      </c>
      <c r="G114" s="274">
        <f>(B114*(1-D114/100)+(E114*B114))*((1-F114)/18.45)</f>
        <v>4.5769222882889835</v>
      </c>
      <c r="H114" s="47">
        <f>Enteric_19!M113</f>
        <v>7.0000000000000007E-2</v>
      </c>
      <c r="I114" s="274">
        <f t="shared" si="25"/>
        <v>10.170938418419963</v>
      </c>
    </row>
    <row r="115" spans="1:9" x14ac:dyDescent="0.2">
      <c r="A115" s="271" t="str">
        <f>Enteric_19!A114</f>
        <v>Replacement/growing</v>
      </c>
      <c r="B115" s="208">
        <f>Nex_19!D115</f>
        <v>109.30779839061952</v>
      </c>
      <c r="C115" s="208">
        <f>Nex_19!B115</f>
        <v>200</v>
      </c>
      <c r="D115" s="272">
        <f>Enteric_19!J114</f>
        <v>55</v>
      </c>
      <c r="E115" s="273">
        <v>0.04</v>
      </c>
      <c r="F115" s="273">
        <v>0.08</v>
      </c>
      <c r="G115" s="274">
        <f>(B115*(1-D115/100)+(E115*B115))*((1-F115)/18.45)</f>
        <v>2.6707834967203947</v>
      </c>
      <c r="H115" s="47">
        <f>Enteric_19!M114</f>
        <v>0.42</v>
      </c>
      <c r="I115" s="274">
        <f t="shared" si="25"/>
        <v>13.353917483601974</v>
      </c>
    </row>
    <row r="116" spans="1:9" x14ac:dyDescent="0.2">
      <c r="A116" s="271" t="str">
        <f>Enteric_19!A115</f>
        <v>Calves on forage</v>
      </c>
      <c r="B116" s="208">
        <f>Nex_19!D116</f>
        <v>87.967631255971838</v>
      </c>
      <c r="C116" s="208">
        <f>Nex_19!B116</f>
        <v>85</v>
      </c>
      <c r="D116" s="272">
        <f>Enteric_19!J115</f>
        <v>55</v>
      </c>
      <c r="E116" s="273">
        <v>0.04</v>
      </c>
      <c r="F116" s="273">
        <v>0.08</v>
      </c>
      <c r="G116" s="274">
        <f>(B116*(1-D116/100)+(E116*B116))*((1-F116)/18.45)</f>
        <v>2.149366296487377</v>
      </c>
      <c r="H116" s="47">
        <f>Enteric_19!M115</f>
        <v>0.21</v>
      </c>
      <c r="I116" s="274">
        <f t="shared" si="25"/>
        <v>25.286662311616201</v>
      </c>
    </row>
    <row r="117" spans="1:9" x14ac:dyDescent="0.2">
      <c r="A117" s="233" t="str">
        <f>Enteric_19!A116</f>
        <v>Middle East_high productivity systems</v>
      </c>
      <c r="B117" s="279"/>
      <c r="C117" s="279"/>
      <c r="D117" s="280"/>
      <c r="E117" s="281"/>
      <c r="F117" s="281"/>
      <c r="G117" s="282">
        <f>SUMPRODUCT(G118:G121,H118:H121)</f>
        <v>2.9545245285760502</v>
      </c>
      <c r="H117" s="283"/>
      <c r="I117" s="234">
        <f>SUMPRODUCT(I118:I121,H118:H121)</f>
        <v>9.3296884114120981</v>
      </c>
    </row>
    <row r="118" spans="1:9" x14ac:dyDescent="0.2">
      <c r="A118" s="271" t="str">
        <f>Enteric_19!A117</f>
        <v xml:space="preserve"> Mature Females</v>
      </c>
      <c r="B118" s="208">
        <f>Nex_19!D118</f>
        <v>173.7612932520467</v>
      </c>
      <c r="C118" s="208">
        <f>Nex_19!B118</f>
        <v>500</v>
      </c>
      <c r="D118" s="272">
        <f>Enteric_19!J117</f>
        <v>65</v>
      </c>
      <c r="E118" s="273">
        <v>0.04</v>
      </c>
      <c r="F118" s="273">
        <v>0.08</v>
      </c>
      <c r="G118" s="274">
        <f>(B118*(1-D118/100)+(E118*B118))*((1-F118)/18.45)</f>
        <v>3.379162711047933</v>
      </c>
      <c r="H118" s="47">
        <f>Enteric_19!M117</f>
        <v>0.2</v>
      </c>
      <c r="I118" s="274">
        <f t="shared" ref="I118:I121" si="26">G118*1000/C118</f>
        <v>6.758325422095866</v>
      </c>
    </row>
    <row r="119" spans="1:9" x14ac:dyDescent="0.2">
      <c r="A119" s="271" t="str">
        <f>Enteric_19!A118</f>
        <v xml:space="preserve"> Mature Males</v>
      </c>
      <c r="B119" s="208">
        <f>Nex_19!D119</f>
        <v>164.39633808461156</v>
      </c>
      <c r="C119" s="208">
        <f>Nex_19!B119</f>
        <v>600</v>
      </c>
      <c r="D119" s="272">
        <f>Enteric_19!J118</f>
        <v>63</v>
      </c>
      <c r="E119" s="273">
        <v>0.04</v>
      </c>
      <c r="F119" s="273">
        <v>0.08</v>
      </c>
      <c r="G119" s="274">
        <f>(B119*(1-D119/100)+(E119*B119))*((1-F119)/18.45)</f>
        <v>3.3609918008409476</v>
      </c>
      <c r="H119" s="47">
        <f>Enteric_19!M118</f>
        <v>0.12</v>
      </c>
      <c r="I119" s="274">
        <f t="shared" si="26"/>
        <v>5.6016530014015791</v>
      </c>
    </row>
    <row r="120" spans="1:9" x14ac:dyDescent="0.2">
      <c r="A120" s="271" t="str">
        <f>Enteric_19!A119</f>
        <v>Replacement/growing</v>
      </c>
      <c r="B120" s="208">
        <f>Nex_19!D120</f>
        <v>147.60102469289106</v>
      </c>
      <c r="C120" s="208">
        <f>Nex_19!B120</f>
        <v>350</v>
      </c>
      <c r="D120" s="272">
        <f>Enteric_19!J119</f>
        <v>63</v>
      </c>
      <c r="E120" s="273">
        <v>0.04</v>
      </c>
      <c r="F120" s="273">
        <v>0.08</v>
      </c>
      <c r="G120" s="274">
        <f>(B120*(1-D120/100)+(E120*B120))*((1-F120)/18.45)</f>
        <v>3.0176209492768837</v>
      </c>
      <c r="H120" s="47">
        <f>Enteric_19!M119</f>
        <v>0.42</v>
      </c>
      <c r="I120" s="274">
        <f t="shared" si="26"/>
        <v>8.6217741407910964</v>
      </c>
    </row>
    <row r="121" spans="1:9" x14ac:dyDescent="0.2">
      <c r="A121" s="271" t="str">
        <f>Enteric_19!A120</f>
        <v>Calves on forage</v>
      </c>
      <c r="B121" s="208">
        <f>Nex_19!D121</f>
        <v>114.37603562130698</v>
      </c>
      <c r="C121" s="208">
        <f>Nex_19!B121</f>
        <v>165</v>
      </c>
      <c r="D121" s="272">
        <f>Enteric_19!J120</f>
        <v>63</v>
      </c>
      <c r="E121" s="273">
        <v>0.04</v>
      </c>
      <c r="F121" s="273">
        <v>0.08</v>
      </c>
      <c r="G121" s="274">
        <f>(B121*(1-D121/100)+(E121*B121))*((1-F121)/18.45)</f>
        <v>2.3383545060356097</v>
      </c>
      <c r="H121" s="47">
        <f>Enteric_19!M120</f>
        <v>0.26</v>
      </c>
      <c r="I121" s="274">
        <f t="shared" si="26"/>
        <v>14.171845491124907</v>
      </c>
    </row>
    <row r="122" spans="1:9" ht="38.25" x14ac:dyDescent="0.2">
      <c r="B122" s="290" t="str">
        <f>B4</f>
        <v>GE, MJ/day/hd</v>
      </c>
      <c r="C122" s="290" t="str">
        <f t="shared" ref="C122:I122" si="27">C4</f>
        <v>Weight, kg</v>
      </c>
      <c r="D122" s="290" t="str">
        <f t="shared" si="27"/>
        <v>DE,%</v>
      </c>
      <c r="E122" s="290" t="str">
        <f t="shared" si="27"/>
        <v>UE</v>
      </c>
      <c r="F122" s="290" t="str">
        <f t="shared" si="27"/>
        <v>ASH</v>
      </c>
      <c r="G122" s="290" t="str">
        <f t="shared" si="27"/>
        <v>VS, kg/hd/day</v>
      </c>
      <c r="H122" s="290" t="str">
        <f t="shared" si="27"/>
        <v>Day Weighted Population Mix %</v>
      </c>
      <c r="I122" s="290" t="str">
        <f t="shared" si="27"/>
        <v>VS per 1000 kg animal mass-1</v>
      </c>
    </row>
    <row r="125" spans="1:9" x14ac:dyDescent="0.2">
      <c r="C125" s="45"/>
    </row>
    <row r="126" spans="1:9" x14ac:dyDescent="0.2">
      <c r="C126" s="45"/>
    </row>
    <row r="127" spans="1:9" x14ac:dyDescent="0.2">
      <c r="C127" s="45"/>
    </row>
    <row r="128" spans="1:9" x14ac:dyDescent="0.2">
      <c r="C128" s="45"/>
    </row>
    <row r="129" spans="3:3" x14ac:dyDescent="0.2">
      <c r="C129" s="45"/>
    </row>
    <row r="130" spans="3:3" x14ac:dyDescent="0.2">
      <c r="C130" s="45"/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P124"/>
  <sheetViews>
    <sheetView tabSelected="1" topLeftCell="A10" zoomScale="70" zoomScaleNormal="70" workbookViewId="0">
      <selection activeCell="A10" sqref="A1:XFD1048576"/>
    </sheetView>
  </sheetViews>
  <sheetFormatPr defaultRowHeight="12.75" x14ac:dyDescent="0.2"/>
  <cols>
    <col min="1" max="1" width="21.42578125" style="2" customWidth="1"/>
    <col min="2" max="2" width="9.28515625" style="2" customWidth="1"/>
    <col min="3" max="3" width="10.7109375" style="2" customWidth="1"/>
    <col min="4" max="4" width="9.42578125" style="2" customWidth="1"/>
    <col min="5" max="5" width="7.7109375" style="2" customWidth="1"/>
    <col min="6" max="6" width="11" style="2" customWidth="1"/>
    <col min="7" max="7" width="12.5703125" style="2" customWidth="1"/>
    <col min="8" max="9" width="9.140625" style="2"/>
    <col min="10" max="10" width="11.28515625" style="2" customWidth="1"/>
    <col min="11" max="11" width="9.85546875" style="2" customWidth="1"/>
    <col min="12" max="12" width="12.140625" style="2" customWidth="1"/>
    <col min="13" max="13" width="10" style="2" customWidth="1"/>
    <col min="14" max="14" width="16.28515625" style="2" customWidth="1"/>
    <col min="15" max="15" width="11.140625" style="2" customWidth="1"/>
    <col min="16" max="16" width="20.42578125" style="45" customWidth="1"/>
    <col min="17" max="17" width="10.5703125" style="207" customWidth="1"/>
    <col min="18" max="18" width="15.5703125" style="45" customWidth="1"/>
    <col min="19" max="42" width="9.140625" style="2" customWidth="1"/>
    <col min="43" max="16384" width="9.140625" style="2"/>
  </cols>
  <sheetData>
    <row r="2" spans="1:23" x14ac:dyDescent="0.2">
      <c r="A2" s="1" t="s">
        <v>120</v>
      </c>
    </row>
    <row r="3" spans="1:23" ht="16.5" thickBot="1" x14ac:dyDescent="0.3">
      <c r="H3" s="198"/>
      <c r="J3" s="213"/>
      <c r="K3" s="1"/>
      <c r="M3" s="1"/>
      <c r="O3" s="1"/>
      <c r="R3" s="5"/>
    </row>
    <row r="4" spans="1:23" ht="76.5" x14ac:dyDescent="0.2">
      <c r="A4" s="263"/>
      <c r="B4" s="224" t="s">
        <v>61</v>
      </c>
      <c r="C4" s="220" t="str">
        <f>Enteric_19!M4</f>
        <v>Day Weighted Population Mix %</v>
      </c>
      <c r="D4" s="227" t="s">
        <v>42</v>
      </c>
      <c r="E4" s="219" t="s">
        <v>46</v>
      </c>
      <c r="F4" s="227" t="s">
        <v>58</v>
      </c>
      <c r="G4" s="220" t="s">
        <v>102</v>
      </c>
      <c r="H4" s="227" t="s">
        <v>103</v>
      </c>
      <c r="I4" s="219" t="s">
        <v>44</v>
      </c>
      <c r="J4" s="227" t="s">
        <v>45</v>
      </c>
      <c r="K4" s="220" t="s">
        <v>59</v>
      </c>
      <c r="L4" s="227" t="s">
        <v>60</v>
      </c>
      <c r="M4" s="220" t="s">
        <v>108</v>
      </c>
      <c r="N4" s="227" t="s">
        <v>118</v>
      </c>
      <c r="O4" s="220" t="s">
        <v>105</v>
      </c>
      <c r="P4" s="228" t="s">
        <v>107</v>
      </c>
      <c r="Q4" s="220" t="s">
        <v>71</v>
      </c>
      <c r="R4" s="228" t="s">
        <v>106</v>
      </c>
      <c r="T4" s="314"/>
    </row>
    <row r="5" spans="1:23" ht="51.75" thickBot="1" x14ac:dyDescent="0.25">
      <c r="A5" s="265"/>
      <c r="B5" s="225"/>
      <c r="C5" s="222"/>
      <c r="D5" s="226"/>
      <c r="E5" s="221"/>
      <c r="F5" s="226" t="s">
        <v>101</v>
      </c>
      <c r="G5" s="315"/>
      <c r="H5" s="225"/>
      <c r="I5" s="221"/>
      <c r="J5" s="226" t="s">
        <v>104</v>
      </c>
      <c r="K5" s="222"/>
      <c r="L5" s="239" t="s">
        <v>117</v>
      </c>
      <c r="M5" s="221" t="s">
        <v>109</v>
      </c>
      <c r="N5" s="225" t="s">
        <v>104</v>
      </c>
      <c r="O5" s="223"/>
      <c r="P5" s="229" t="s">
        <v>115</v>
      </c>
      <c r="Q5" s="222" t="s">
        <v>110</v>
      </c>
      <c r="R5" s="226" t="s">
        <v>116</v>
      </c>
      <c r="T5" s="314"/>
    </row>
    <row r="6" spans="1:23" x14ac:dyDescent="0.2">
      <c r="A6" s="215" t="str">
        <f>Enteric_19!A5</f>
        <v>North America</v>
      </c>
      <c r="B6" s="266"/>
      <c r="C6" s="266"/>
      <c r="D6" s="266"/>
      <c r="E6" s="268"/>
      <c r="F6" s="266"/>
      <c r="G6" s="218">
        <f>SUMPRODUCT(C7:C13,G7:G13)</f>
        <v>65.071379646695092</v>
      </c>
      <c r="H6" s="266"/>
      <c r="I6" s="266"/>
      <c r="J6" s="216"/>
      <c r="K6" s="266"/>
      <c r="L6" s="266"/>
      <c r="M6" s="266"/>
      <c r="N6" s="268"/>
      <c r="O6" s="217"/>
      <c r="P6" s="216">
        <f>SUMPRODUCT(P7:P13,C7:C13)</f>
        <v>0.15066050061333119</v>
      </c>
      <c r="Q6" s="218">
        <f>SUMPRODUCT(Q7:Q13,C7:C13)</f>
        <v>57.332352716401921</v>
      </c>
      <c r="R6" s="216">
        <f>SUMPRODUCT(R7:R13,C7:C13)</f>
        <v>0.40267367441901475</v>
      </c>
      <c r="T6" s="316"/>
    </row>
    <row r="7" spans="1:23" x14ac:dyDescent="0.2">
      <c r="A7" s="271" t="str">
        <f>Enteric_19!A6</f>
        <v>Mature Females</v>
      </c>
      <c r="B7" s="273">
        <f>Enteric_19!B6</f>
        <v>580</v>
      </c>
      <c r="C7" s="47">
        <f>Enteric_19!M6</f>
        <v>0.35</v>
      </c>
      <c r="D7" s="208">
        <f>Enteric_19!Q130</f>
        <v>212.4296187480229</v>
      </c>
      <c r="E7" s="62">
        <f>Enteric_19!K6</f>
        <v>0.12</v>
      </c>
      <c r="F7" s="261">
        <f>D7/18.45*(E7/6.25)</f>
        <v>0.22106496910363357</v>
      </c>
      <c r="G7" s="194">
        <f t="shared" ref="G7:G13" si="0">F7*365</f>
        <v>80.68871372282625</v>
      </c>
      <c r="H7" s="317">
        <f>Enteric_19!E6</f>
        <v>3</v>
      </c>
      <c r="I7" s="189">
        <f>Enteric_19!G6</f>
        <v>3.5000000000000003E-2</v>
      </c>
      <c r="J7" s="196">
        <f>H7*I7/6.38</f>
        <v>1.6457680250783702E-2</v>
      </c>
      <c r="K7" s="199">
        <f>Enteric_19!C6</f>
        <v>0</v>
      </c>
      <c r="L7" s="199">
        <f>Enteric_19!E130</f>
        <v>0</v>
      </c>
      <c r="M7" s="271"/>
      <c r="N7" s="318">
        <f>J7+M7</f>
        <v>1.6457680250783702E-2</v>
      </c>
      <c r="O7" s="208">
        <f>N7*365</f>
        <v>6.0070532915360513</v>
      </c>
      <c r="P7" s="261">
        <f>N7/F7</f>
        <v>7.4447255562542183E-2</v>
      </c>
      <c r="Q7" s="208">
        <f t="shared" ref="Q7:Q13" si="1">G7-O7</f>
        <v>74.681660431290197</v>
      </c>
      <c r="R7" s="212">
        <f>(Q7*1000/B7)/365</f>
        <v>0.35277118767732735</v>
      </c>
      <c r="T7" s="316"/>
      <c r="V7" s="319"/>
      <c r="W7" s="319"/>
    </row>
    <row r="8" spans="1:23" x14ac:dyDescent="0.2">
      <c r="A8" s="271" t="str">
        <f>Enteric_19!A7</f>
        <v>Mature Males</v>
      </c>
      <c r="B8" s="273">
        <f>Enteric_19!B7</f>
        <v>820</v>
      </c>
      <c r="C8" s="47">
        <f>Enteric_19!M7</f>
        <v>0.02</v>
      </c>
      <c r="D8" s="208">
        <f>Enteric_19!Q131</f>
        <v>212.75163434652768</v>
      </c>
      <c r="E8" s="62">
        <f>Enteric_19!K7</f>
        <v>0.12</v>
      </c>
      <c r="F8" s="261">
        <f t="shared" ref="F8:F13" si="2">D8/18.45*(E8/6.25)</f>
        <v>0.2214000747671182</v>
      </c>
      <c r="G8" s="194">
        <f t="shared" si="0"/>
        <v>80.811027289998151</v>
      </c>
      <c r="H8" s="317">
        <f>Enteric_19!E7</f>
        <v>0</v>
      </c>
      <c r="I8" s="189">
        <f>Enteric_19!G7</f>
        <v>0</v>
      </c>
      <c r="J8" s="196">
        <f t="shared" ref="J8:J79" si="3">H8*I8/6.38</f>
        <v>0</v>
      </c>
      <c r="K8" s="199">
        <f>Enteric_19!C7</f>
        <v>0</v>
      </c>
      <c r="L8" s="199">
        <f>Enteric_19!E131</f>
        <v>0</v>
      </c>
      <c r="M8" s="271"/>
      <c r="N8" s="318">
        <f t="shared" ref="N8:N13" si="4">J8+M8</f>
        <v>0</v>
      </c>
      <c r="O8" s="208">
        <f>N8*365</f>
        <v>0</v>
      </c>
      <c r="P8" s="261">
        <f t="shared" ref="P8:P71" si="5">N8/F8</f>
        <v>0</v>
      </c>
      <c r="Q8" s="208">
        <f t="shared" si="1"/>
        <v>80.811027289998151</v>
      </c>
      <c r="R8" s="212">
        <f t="shared" ref="R8:R13" si="6">(Q8*1000/B8)/365</f>
        <v>0.27000009117941248</v>
      </c>
      <c r="T8" s="316"/>
      <c r="V8" s="319"/>
      <c r="W8" s="319"/>
    </row>
    <row r="9" spans="1:23" x14ac:dyDescent="0.2">
      <c r="A9" s="271" t="str">
        <f>Enteric_19!A8</f>
        <v>Calves on milk</v>
      </c>
      <c r="B9" s="273">
        <f>Enteric_19!B8</f>
        <v>125</v>
      </c>
      <c r="C9" s="47">
        <f>Enteric_19!M8</f>
        <v>0.16</v>
      </c>
      <c r="D9" s="208">
        <f>Enteric_19!Q132</f>
        <v>53.807869635669512</v>
      </c>
      <c r="E9" s="62">
        <f>Enteric_19!K8</f>
        <v>0.16</v>
      </c>
      <c r="F9" s="261">
        <f t="shared" si="2"/>
        <v>7.4660241879302952E-2</v>
      </c>
      <c r="G9" s="194">
        <f t="shared" si="0"/>
        <v>27.250988285945578</v>
      </c>
      <c r="H9" s="317">
        <f>Enteric_19!E8</f>
        <v>0</v>
      </c>
      <c r="I9" s="189">
        <f>Enteric_19!G8</f>
        <v>0</v>
      </c>
      <c r="J9" s="196">
        <f t="shared" si="3"/>
        <v>0</v>
      </c>
      <c r="K9" s="199">
        <f>Enteric_19!C8</f>
        <v>1</v>
      </c>
      <c r="L9" s="199">
        <f>Enteric_19!E132</f>
        <v>10.489272458663665</v>
      </c>
      <c r="M9" s="240">
        <f>(K9*(268-7.03*(L9/K9))/1000)/6.25</f>
        <v>3.1081666338495104E-2</v>
      </c>
      <c r="N9" s="318">
        <f t="shared" si="4"/>
        <v>3.1081666338495104E-2</v>
      </c>
      <c r="O9" s="208">
        <f t="shared" ref="O9:O79" si="7">N9*365</f>
        <v>11.344808213550714</v>
      </c>
      <c r="P9" s="261">
        <f t="shared" si="5"/>
        <v>0.41630813879149048</v>
      </c>
      <c r="Q9" s="208">
        <f t="shared" si="1"/>
        <v>15.906180072394864</v>
      </c>
      <c r="R9" s="212">
        <f t="shared" si="6"/>
        <v>0.34862860432646275</v>
      </c>
      <c r="T9" s="316"/>
      <c r="V9" s="319"/>
      <c r="W9" s="319"/>
    </row>
    <row r="10" spans="1:23" x14ac:dyDescent="0.2">
      <c r="A10" s="271" t="str">
        <f>Enteric_19!A9</f>
        <v>Calves on forage</v>
      </c>
      <c r="B10" s="273">
        <f>Enteric_19!B9</f>
        <v>215</v>
      </c>
      <c r="C10" s="47">
        <f>Enteric_19!M9</f>
        <v>0.08</v>
      </c>
      <c r="D10" s="208">
        <f>Enteric_19!Q133</f>
        <v>141.90426070015033</v>
      </c>
      <c r="E10" s="62">
        <f>Enteric_19!K9</f>
        <v>0.13</v>
      </c>
      <c r="F10" s="261">
        <f t="shared" si="2"/>
        <v>0.15997878713079278</v>
      </c>
      <c r="G10" s="194">
        <f>F10*365</f>
        <v>58.392257302739367</v>
      </c>
      <c r="H10" s="317">
        <f>Enteric_19!E9</f>
        <v>0</v>
      </c>
      <c r="I10" s="189">
        <f>Enteric_19!G9</f>
        <v>0</v>
      </c>
      <c r="J10" s="196">
        <f t="shared" si="3"/>
        <v>0</v>
      </c>
      <c r="K10" s="199">
        <f>Enteric_19!C9</f>
        <v>1</v>
      </c>
      <c r="L10" s="199">
        <f>Enteric_19!E133</f>
        <v>15.754031210859202</v>
      </c>
      <c r="M10" s="240">
        <f t="shared" ref="M10:M13" si="8">(K10*(268-7.03*(L10/K10))/1000)/6.25</f>
        <v>2.515986569402557E-2</v>
      </c>
      <c r="N10" s="318">
        <f>J10+M10</f>
        <v>2.515986569402557E-2</v>
      </c>
      <c r="O10" s="208">
        <f t="shared" si="7"/>
        <v>9.1833509783193321</v>
      </c>
      <c r="P10" s="261">
        <f t="shared" si="5"/>
        <v>0.1572700115138127</v>
      </c>
      <c r="Q10" s="208">
        <f t="shared" si="1"/>
        <v>49.208906324420035</v>
      </c>
      <c r="R10" s="212">
        <f t="shared" si="6"/>
        <v>0.62706475086868485</v>
      </c>
      <c r="T10" s="316"/>
      <c r="V10" s="319"/>
      <c r="W10" s="319"/>
    </row>
    <row r="11" spans="1:23" x14ac:dyDescent="0.2">
      <c r="A11" s="271" t="str">
        <f>Enteric_19!A10</f>
        <v>Growing heifers/steers</v>
      </c>
      <c r="B11" s="273">
        <f>Enteric_19!B10</f>
        <v>300</v>
      </c>
      <c r="C11" s="47">
        <f>Enteric_19!M10</f>
        <v>0.17</v>
      </c>
      <c r="D11" s="208">
        <f>Enteric_19!Q134</f>
        <v>161.63401432967314</v>
      </c>
      <c r="E11" s="62">
        <f>Enteric_19!K10</f>
        <v>0.12</v>
      </c>
      <c r="F11" s="261">
        <f t="shared" si="2"/>
        <v>0.1682045027170582</v>
      </c>
      <c r="G11" s="194">
        <f t="shared" si="0"/>
        <v>61.394643491726242</v>
      </c>
      <c r="H11" s="317">
        <f>Enteric_19!E10</f>
        <v>0</v>
      </c>
      <c r="I11" s="189">
        <f>Enteric_19!G10</f>
        <v>0</v>
      </c>
      <c r="J11" s="196">
        <f t="shared" si="3"/>
        <v>0</v>
      </c>
      <c r="K11" s="199">
        <f>Enteric_19!C10</f>
        <v>0.9</v>
      </c>
      <c r="L11" s="199">
        <f>Enteric_19!E134</f>
        <v>13.453987850544877</v>
      </c>
      <c r="M11" s="240">
        <f t="shared" si="8"/>
        <v>2.3458954465707126E-2</v>
      </c>
      <c r="N11" s="318">
        <f t="shared" si="4"/>
        <v>2.3458954465707126E-2</v>
      </c>
      <c r="O11" s="208">
        <f t="shared" si="7"/>
        <v>8.5625183799831017</v>
      </c>
      <c r="P11" s="261">
        <f t="shared" si="5"/>
        <v>0.13946686376861225</v>
      </c>
      <c r="Q11" s="208">
        <f t="shared" si="1"/>
        <v>52.832125111743139</v>
      </c>
      <c r="R11" s="212">
        <f t="shared" si="6"/>
        <v>0.48248516083783688</v>
      </c>
      <c r="T11" s="316"/>
      <c r="V11" s="319"/>
      <c r="W11" s="319"/>
    </row>
    <row r="12" spans="1:23" x14ac:dyDescent="0.2">
      <c r="A12" s="271" t="str">
        <f>Enteric_19!A11</f>
        <v>Replacement/growing</v>
      </c>
      <c r="B12" s="273">
        <f>Enteric_19!B11</f>
        <v>400</v>
      </c>
      <c r="C12" s="47">
        <f>Enteric_19!M11</f>
        <v>0.11</v>
      </c>
      <c r="D12" s="208">
        <f>Enteric_19!Q135</f>
        <v>159.09388308809085</v>
      </c>
      <c r="E12" s="62">
        <f>Enteric_19!K11</f>
        <v>0.12</v>
      </c>
      <c r="F12" s="261">
        <f t="shared" si="2"/>
        <v>0.16556111410793195</v>
      </c>
      <c r="G12" s="194">
        <f t="shared" si="0"/>
        <v>60.429806649395161</v>
      </c>
      <c r="H12" s="317">
        <f>Enteric_19!E11</f>
        <v>0</v>
      </c>
      <c r="I12" s="189">
        <f>Enteric_19!G11</f>
        <v>0</v>
      </c>
      <c r="J12" s="196">
        <f t="shared" si="3"/>
        <v>0</v>
      </c>
      <c r="K12" s="199">
        <f>Enteric_19!C11</f>
        <v>0.5</v>
      </c>
      <c r="L12" s="199">
        <f>Enteric_19!E135</f>
        <v>9.2096667892809947</v>
      </c>
      <c r="M12" s="240">
        <f t="shared" si="8"/>
        <v>1.1080966795416735E-2</v>
      </c>
      <c r="N12" s="318">
        <f t="shared" si="4"/>
        <v>1.1080966795416735E-2</v>
      </c>
      <c r="O12" s="208">
        <f t="shared" si="7"/>
        <v>4.0445528803271085</v>
      </c>
      <c r="P12" s="261">
        <f t="shared" si="5"/>
        <v>6.6929767023631376E-2</v>
      </c>
      <c r="Q12" s="208">
        <f t="shared" si="1"/>
        <v>56.385253769068051</v>
      </c>
      <c r="R12" s="212">
        <f t="shared" si="6"/>
        <v>0.38620036828128801</v>
      </c>
      <c r="T12" s="316"/>
      <c r="V12" s="319"/>
      <c r="W12" s="319"/>
    </row>
    <row r="13" spans="1:23" x14ac:dyDescent="0.2">
      <c r="A13" s="271" t="str">
        <f>Enteric_19!A12</f>
        <v>Feedlot cattle</v>
      </c>
      <c r="B13" s="273">
        <f>Enteric_19!B12</f>
        <v>500</v>
      </c>
      <c r="C13" s="47">
        <f>Enteric_19!M12</f>
        <v>0.11</v>
      </c>
      <c r="D13" s="208">
        <f>Enteric_19!Q136</f>
        <v>186.64587644620974</v>
      </c>
      <c r="E13" s="62">
        <f>Enteric_19!K12</f>
        <v>0.14000000000000001</v>
      </c>
      <c r="F13" s="261">
        <f t="shared" si="2"/>
        <v>0.22660529172873167</v>
      </c>
      <c r="G13" s="194">
        <f t="shared" si="0"/>
        <v>82.710931480987057</v>
      </c>
      <c r="H13" s="317">
        <f>Enteric_19!E12</f>
        <v>0</v>
      </c>
      <c r="I13" s="189">
        <f>Enteric_19!G12</f>
        <v>0</v>
      </c>
      <c r="J13" s="196">
        <f t="shared" si="3"/>
        <v>0</v>
      </c>
      <c r="K13" s="199">
        <f>Enteric_19!C12</f>
        <v>1.4</v>
      </c>
      <c r="L13" s="199">
        <f>Enteric_19!E136</f>
        <v>27.105255532046854</v>
      </c>
      <c r="M13" s="240">
        <f t="shared" si="8"/>
        <v>2.9544008577553696E-2</v>
      </c>
      <c r="N13" s="318">
        <f t="shared" si="4"/>
        <v>2.9544008577553696E-2</v>
      </c>
      <c r="O13" s="208">
        <f t="shared" si="7"/>
        <v>10.783563130807099</v>
      </c>
      <c r="P13" s="261">
        <f t="shared" si="5"/>
        <v>0.13037651659485833</v>
      </c>
      <c r="Q13" s="208">
        <f t="shared" si="1"/>
        <v>71.927368350179961</v>
      </c>
      <c r="R13" s="212">
        <f t="shared" si="6"/>
        <v>0.39412256630235593</v>
      </c>
      <c r="T13" s="316"/>
      <c r="V13" s="319"/>
      <c r="W13" s="319"/>
    </row>
    <row r="14" spans="1:23" x14ac:dyDescent="0.2">
      <c r="A14" s="190" t="str">
        <f>Enteric_19!A13</f>
        <v>Western Europe</v>
      </c>
      <c r="B14" s="276"/>
      <c r="C14" s="276"/>
      <c r="D14" s="209"/>
      <c r="E14" s="192"/>
      <c r="F14" s="320"/>
      <c r="G14" s="195">
        <f>SUMPRODUCT(C15:C18,G15:G18)</f>
        <v>64.949936196026187</v>
      </c>
      <c r="H14" s="321"/>
      <c r="I14" s="193"/>
      <c r="J14" s="197"/>
      <c r="K14" s="200"/>
      <c r="L14" s="200"/>
      <c r="M14" s="322"/>
      <c r="N14" s="323"/>
      <c r="O14" s="209"/>
      <c r="P14" s="191">
        <f>SUMPRODUCT(P15:P18,C15:C18)</f>
        <v>4.4966896042900113E-2</v>
      </c>
      <c r="Q14" s="209">
        <f>SUMPRODUCT(Q15:Q18,C15:C18)</f>
        <v>62.587082986370994</v>
      </c>
      <c r="R14" s="191">
        <f>SUMPRODUCT(R15:R18,C15:C18)</f>
        <v>0.42029021533280508</v>
      </c>
      <c r="T14" s="316"/>
      <c r="V14" s="319"/>
      <c r="W14" s="319"/>
    </row>
    <row r="15" spans="1:23" x14ac:dyDescent="0.2">
      <c r="A15" s="271" t="str">
        <f>Enteric_19!A14</f>
        <v>Mature Males</v>
      </c>
      <c r="B15" s="273">
        <f>Enteric_19!B14</f>
        <v>600</v>
      </c>
      <c r="C15" s="47">
        <f>Enteric_19!M14</f>
        <v>0.22</v>
      </c>
      <c r="D15" s="208">
        <f>Enteric_19!Q138</f>
        <v>176.816618190485</v>
      </c>
      <c r="E15" s="62">
        <f>Enteric_19!K14</f>
        <v>0.14699999999999999</v>
      </c>
      <c r="F15" s="261">
        <f>D15/18.45*(E15/6.25)</f>
        <v>0.22540524985583779</v>
      </c>
      <c r="G15" s="194">
        <f>F15*365</f>
        <v>82.272916197380795</v>
      </c>
      <c r="H15" s="317">
        <f>Enteric_19!E14</f>
        <v>0</v>
      </c>
      <c r="I15" s="189">
        <f>Enteric_19!G14</f>
        <v>0</v>
      </c>
      <c r="J15" s="196">
        <f t="shared" si="3"/>
        <v>0</v>
      </c>
      <c r="K15" s="199">
        <f>Enteric_19!C14</f>
        <v>0</v>
      </c>
      <c r="L15" s="199">
        <f>Enteric_19!E138</f>
        <v>0</v>
      </c>
      <c r="M15" s="240"/>
      <c r="N15" s="318">
        <f t="shared" ref="N15:N18" si="9">J15+M15</f>
        <v>0</v>
      </c>
      <c r="O15" s="208">
        <f t="shared" si="7"/>
        <v>0</v>
      </c>
      <c r="P15" s="261">
        <f t="shared" si="5"/>
        <v>0</v>
      </c>
      <c r="Q15" s="208">
        <f>G15-O15</f>
        <v>82.272916197380795</v>
      </c>
      <c r="R15" s="212">
        <f>(Q15*1000/B15)/365</f>
        <v>0.37567541642639635</v>
      </c>
      <c r="T15" s="316"/>
      <c r="V15" s="319"/>
      <c r="W15" s="319"/>
    </row>
    <row r="16" spans="1:23" x14ac:dyDescent="0.2">
      <c r="A16" s="271" t="str">
        <f>Enteric_19!A15</f>
        <v>Replacement/growing</v>
      </c>
      <c r="B16" s="273">
        <f>Enteric_19!B15</f>
        <v>400</v>
      </c>
      <c r="C16" s="47">
        <f>Enteric_19!M15</f>
        <v>0.55000000000000004</v>
      </c>
      <c r="D16" s="208">
        <f>Enteric_19!Q139</f>
        <v>138.31167220372203</v>
      </c>
      <c r="E16" s="62">
        <f>Enteric_19!K15</f>
        <v>0.16500000000000001</v>
      </c>
      <c r="F16" s="261">
        <f t="shared" ref="F16:F87" si="10">D16/18.45*(E16/6.25)</f>
        <v>0.19790938461670793</v>
      </c>
      <c r="G16" s="194">
        <f t="shared" ref="G16:G87" si="11">F16*365</f>
        <v>72.236925385098388</v>
      </c>
      <c r="H16" s="317">
        <f>Enteric_19!E15</f>
        <v>0</v>
      </c>
      <c r="I16" s="189">
        <f>Enteric_19!G15</f>
        <v>0</v>
      </c>
      <c r="J16" s="196">
        <f t="shared" si="3"/>
        <v>0</v>
      </c>
      <c r="K16" s="199">
        <f>Enteric_19!C15</f>
        <v>0.4</v>
      </c>
      <c r="L16" s="199">
        <f>Enteric_19!E139</f>
        <v>7.5029596565656274</v>
      </c>
      <c r="M16" s="240">
        <f t="shared" ref="M16:M18" si="12">(K16*(268-7.03*(L16/K16))/1000)/6.25</f>
        <v>8.7126709782949837E-3</v>
      </c>
      <c r="N16" s="318">
        <f t="shared" si="9"/>
        <v>8.7126709782949837E-3</v>
      </c>
      <c r="O16" s="208">
        <f t="shared" si="7"/>
        <v>3.1801249070776691</v>
      </c>
      <c r="P16" s="261">
        <f t="shared" si="5"/>
        <v>4.4023536302580379E-2</v>
      </c>
      <c r="Q16" s="208">
        <f>G16-O16</f>
        <v>69.056800478020719</v>
      </c>
      <c r="R16" s="212">
        <f>(Q16*1000/B16)/365</f>
        <v>0.47299178409603232</v>
      </c>
      <c r="T16" s="316"/>
      <c r="V16" s="319"/>
      <c r="W16" s="319"/>
    </row>
    <row r="17" spans="1:23" x14ac:dyDescent="0.2">
      <c r="A17" s="271" t="str">
        <f>Enteric_19!A16</f>
        <v>Calves on milk</v>
      </c>
      <c r="B17" s="273">
        <f>Enteric_19!B16</f>
        <v>230</v>
      </c>
      <c r="C17" s="47">
        <f>Enteric_19!M16</f>
        <v>0.15</v>
      </c>
      <c r="D17" s="208">
        <f>Enteric_19!Q140</f>
        <v>48.07238314550235</v>
      </c>
      <c r="E17" s="62">
        <f>Enteric_19!K16</f>
        <v>0.17100000000000001</v>
      </c>
      <c r="F17" s="261">
        <f t="shared" si="10"/>
        <v>7.1287826713330324E-2</v>
      </c>
      <c r="G17" s="194">
        <f t="shared" si="11"/>
        <v>26.020056750365569</v>
      </c>
      <c r="H17" s="317">
        <f>Enteric_19!E16</f>
        <v>0</v>
      </c>
      <c r="I17" s="189">
        <f>Enteric_19!G16</f>
        <v>0</v>
      </c>
      <c r="J17" s="196">
        <f t="shared" si="3"/>
        <v>0</v>
      </c>
      <c r="K17" s="199">
        <f>Enteric_19!C16</f>
        <v>0.3</v>
      </c>
      <c r="L17" s="199">
        <f>Enteric_19!E140</f>
        <v>4.8645920394726465</v>
      </c>
      <c r="M17" s="240">
        <f t="shared" si="12"/>
        <v>7.392306874001167E-3</v>
      </c>
      <c r="N17" s="318">
        <f t="shared" si="9"/>
        <v>7.392306874001167E-3</v>
      </c>
      <c r="O17" s="208">
        <f t="shared" si="7"/>
        <v>2.6981920090104259</v>
      </c>
      <c r="P17" s="261">
        <f t="shared" si="5"/>
        <v>0.10369662275899985</v>
      </c>
      <c r="Q17" s="208">
        <f>G17-O17</f>
        <v>23.321864741355142</v>
      </c>
      <c r="R17" s="212">
        <f>(Q17*1000/B17)/365</f>
        <v>0.27780660799708329</v>
      </c>
      <c r="T17" s="316"/>
      <c r="V17" s="319"/>
      <c r="W17" s="319"/>
    </row>
    <row r="18" spans="1:23" x14ac:dyDescent="0.2">
      <c r="A18" s="271" t="str">
        <f>Enteric_19!A17</f>
        <v>Calves on forage</v>
      </c>
      <c r="B18" s="273">
        <f>Enteric_19!B17</f>
        <v>230</v>
      </c>
      <c r="C18" s="47">
        <f>Enteric_19!M17</f>
        <v>0.08</v>
      </c>
      <c r="D18" s="208">
        <f>Enteric_19!Q141</f>
        <v>76.984548268980589</v>
      </c>
      <c r="E18" s="62">
        <f>Enteric_19!K17</f>
        <v>0.16500000000000001</v>
      </c>
      <c r="F18" s="261">
        <f t="shared" si="10"/>
        <v>0.11015675199463888</v>
      </c>
      <c r="G18" s="194">
        <f t="shared" si="11"/>
        <v>40.207214478043191</v>
      </c>
      <c r="H18" s="317">
        <f>Enteric_19!E17</f>
        <v>0</v>
      </c>
      <c r="I18" s="189">
        <f>Enteric_19!G17</f>
        <v>0</v>
      </c>
      <c r="J18" s="196">
        <f t="shared" si="3"/>
        <v>0</v>
      </c>
      <c r="K18" s="199">
        <f>Enteric_19!C17</f>
        <v>0.3</v>
      </c>
      <c r="L18" s="199">
        <f>Enteric_19!E141</f>
        <v>5.0716197518552333</v>
      </c>
      <c r="M18" s="240">
        <f t="shared" si="12"/>
        <v>7.1594421031132335E-3</v>
      </c>
      <c r="N18" s="318">
        <f t="shared" si="9"/>
        <v>7.1594421031132335E-3</v>
      </c>
      <c r="O18" s="208">
        <f t="shared" si="7"/>
        <v>2.6131963676363301</v>
      </c>
      <c r="P18" s="261">
        <f t="shared" si="5"/>
        <v>6.4993220782886468E-2</v>
      </c>
      <c r="Q18" s="208">
        <f>G18-O18</f>
        <v>37.594018110406864</v>
      </c>
      <c r="R18" s="212">
        <f>(Q18*1000/B18)/365</f>
        <v>0.44781439083272023</v>
      </c>
      <c r="T18" s="316"/>
      <c r="V18" s="319"/>
      <c r="W18" s="319"/>
    </row>
    <row r="19" spans="1:23" x14ac:dyDescent="0.2">
      <c r="A19" s="190" t="str">
        <f>Enteric_19!A18</f>
        <v>Eastern Europe</v>
      </c>
      <c r="B19" s="276"/>
      <c r="C19" s="276"/>
      <c r="D19" s="209"/>
      <c r="E19" s="192"/>
      <c r="F19" s="320"/>
      <c r="G19" s="195">
        <f>SUMPRODUCT(C20:C23,G20:G23)</f>
        <v>65.155096266104124</v>
      </c>
      <c r="H19" s="321"/>
      <c r="I19" s="193"/>
      <c r="J19" s="197"/>
      <c r="K19" s="200"/>
      <c r="L19" s="200"/>
      <c r="M19" s="322"/>
      <c r="N19" s="323"/>
      <c r="O19" s="209"/>
      <c r="P19" s="191">
        <f>SUMPRODUCT(C20:C23,P20:P23)</f>
        <v>7.728708494531325E-2</v>
      </c>
      <c r="Q19" s="209">
        <f>SUMPRODUCT(Q20:Q23,C20:C23)</f>
        <v>60.255975401976315</v>
      </c>
      <c r="R19" s="191">
        <f>SUMPRODUCT(R20:R23,C20:C23)</f>
        <v>0.46775925894668907</v>
      </c>
      <c r="T19" s="316"/>
      <c r="V19" s="319"/>
      <c r="W19" s="319"/>
    </row>
    <row r="20" spans="1:23" x14ac:dyDescent="0.2">
      <c r="A20" s="271" t="str">
        <f>Enteric_19!A19</f>
        <v>Mature Females</v>
      </c>
      <c r="B20" s="273">
        <f>Enteric_19!B19</f>
        <v>500</v>
      </c>
      <c r="C20" s="47">
        <f>Enteric_19!M19</f>
        <v>0.39</v>
      </c>
      <c r="D20" s="208">
        <f>Enteric_19!Q143</f>
        <v>163.33308877466811</v>
      </c>
      <c r="E20" s="62">
        <f>Enteric_19!K19</f>
        <v>0.151</v>
      </c>
      <c r="F20" s="261">
        <f t="shared" si="10"/>
        <v>0.21388224524639468</v>
      </c>
      <c r="G20" s="194">
        <f t="shared" si="11"/>
        <v>78.06701951493406</v>
      </c>
      <c r="H20" s="317">
        <f>Enteric_19!E19</f>
        <v>3</v>
      </c>
      <c r="I20" s="189">
        <f>Enteric_19!G19</f>
        <v>3.6999999999999998E-2</v>
      </c>
      <c r="J20" s="196">
        <f t="shared" si="3"/>
        <v>1.7398119122257052E-2</v>
      </c>
      <c r="K20" s="199">
        <f>Enteric_19!C19</f>
        <v>0</v>
      </c>
      <c r="L20" s="199">
        <f>Enteric_19!E143</f>
        <v>0</v>
      </c>
      <c r="M20" s="240"/>
      <c r="N20" s="318">
        <f t="shared" ref="N20:N23" si="13">J20+M20</f>
        <v>1.7398119122257052E-2</v>
      </c>
      <c r="O20" s="208">
        <f t="shared" si="7"/>
        <v>6.3503134796238241</v>
      </c>
      <c r="P20" s="261">
        <f t="shared" si="5"/>
        <v>8.1344382289489384E-2</v>
      </c>
      <c r="Q20" s="208">
        <f>G20-O20</f>
        <v>71.716706035310239</v>
      </c>
      <c r="R20" s="212">
        <f>(Q20*1000/B20)/365</f>
        <v>0.39296825224827531</v>
      </c>
      <c r="T20" s="316"/>
      <c r="V20" s="319"/>
      <c r="W20" s="319"/>
    </row>
    <row r="21" spans="1:23" x14ac:dyDescent="0.2">
      <c r="A21" s="271" t="str">
        <f>Enteric_19!A20</f>
        <v>Mature Males</v>
      </c>
      <c r="B21" s="273">
        <f>Enteric_19!B20</f>
        <v>600</v>
      </c>
      <c r="C21" s="47">
        <f>Enteric_19!M20</f>
        <v>0.09</v>
      </c>
      <c r="D21" s="208">
        <f>Enteric_19!Q144</f>
        <v>157.13504480384105</v>
      </c>
      <c r="E21" s="62">
        <f>Enteric_19!K20</f>
        <v>0.14199999999999999</v>
      </c>
      <c r="F21" s="261">
        <f t="shared" si="10"/>
        <v>0.19350180043052945</v>
      </c>
      <c r="G21" s="194">
        <f t="shared" si="11"/>
        <v>70.628157157143249</v>
      </c>
      <c r="H21" s="317">
        <f>Enteric_19!E20</f>
        <v>0</v>
      </c>
      <c r="I21" s="189">
        <f>Enteric_19!G20</f>
        <v>0</v>
      </c>
      <c r="J21" s="196">
        <f t="shared" si="3"/>
        <v>0</v>
      </c>
      <c r="K21" s="199">
        <f>Enteric_19!C20</f>
        <v>0</v>
      </c>
      <c r="L21" s="199">
        <f>Enteric_19!E144</f>
        <v>0</v>
      </c>
      <c r="M21" s="240"/>
      <c r="N21" s="318">
        <f t="shared" si="13"/>
        <v>0</v>
      </c>
      <c r="O21" s="208">
        <f t="shared" si="7"/>
        <v>0</v>
      </c>
      <c r="P21" s="261">
        <f t="shared" si="5"/>
        <v>0</v>
      </c>
      <c r="Q21" s="208">
        <f>G21-O21</f>
        <v>70.628157157143249</v>
      </c>
      <c r="R21" s="212">
        <f>(Q21*1000/B21)/365</f>
        <v>0.32250300071754906</v>
      </c>
      <c r="T21" s="316"/>
      <c r="V21" s="319"/>
      <c r="W21" s="319"/>
    </row>
    <row r="22" spans="1:23" x14ac:dyDescent="0.2">
      <c r="A22" s="271" t="str">
        <f>Enteric_19!A21</f>
        <v>Replacement/growing</v>
      </c>
      <c r="B22" s="273">
        <f>Enteric_19!B21</f>
        <v>350</v>
      </c>
      <c r="C22" s="47">
        <f>Enteric_19!M21</f>
        <v>0.27</v>
      </c>
      <c r="D22" s="208">
        <f>Enteric_19!Q145</f>
        <v>128.76998500367554</v>
      </c>
      <c r="E22" s="62">
        <f>Enteric_19!K21</f>
        <v>0.14199999999999999</v>
      </c>
      <c r="F22" s="261">
        <f t="shared" si="10"/>
        <v>0.15857203573352349</v>
      </c>
      <c r="G22" s="194">
        <f t="shared" si="11"/>
        <v>57.878793042736078</v>
      </c>
      <c r="H22" s="317">
        <f>Enteric_19!E21</f>
        <v>0</v>
      </c>
      <c r="I22" s="189">
        <f>Enteric_19!G21</f>
        <v>0</v>
      </c>
      <c r="J22" s="196">
        <f t="shared" si="3"/>
        <v>0</v>
      </c>
      <c r="K22" s="199">
        <f>Enteric_19!C21</f>
        <v>0.4</v>
      </c>
      <c r="L22" s="199">
        <f>Enteric_19!E145</f>
        <v>7.5176091095600635</v>
      </c>
      <c r="M22" s="240">
        <f t="shared" ref="M22:M23" si="14">(K22*(268-7.03*(L22/K22))/1000)/6.25</f>
        <v>8.6961932735668407E-3</v>
      </c>
      <c r="N22" s="318">
        <f t="shared" si="13"/>
        <v>8.6961932735668407E-3</v>
      </c>
      <c r="O22" s="208">
        <f t="shared" si="7"/>
        <v>3.1741105448518967</v>
      </c>
      <c r="P22" s="261">
        <f t="shared" si="5"/>
        <v>5.4840648499843853E-2</v>
      </c>
      <c r="Q22" s="208">
        <f>G22-O22</f>
        <v>54.704682497884178</v>
      </c>
      <c r="R22" s="212">
        <f>(Q22*1000/B22)/365</f>
        <v>0.42821669274273327</v>
      </c>
      <c r="T22" s="316"/>
      <c r="V22" s="319"/>
      <c r="W22" s="319"/>
    </row>
    <row r="23" spans="1:23" x14ac:dyDescent="0.2">
      <c r="A23" s="271" t="str">
        <f>Enteric_19!A22</f>
        <v>Calves on forage</v>
      </c>
      <c r="B23" s="273">
        <f>Enteric_19!B22</f>
        <v>180</v>
      </c>
      <c r="C23" s="47">
        <f>Enteric_19!M22</f>
        <v>0.25</v>
      </c>
      <c r="D23" s="208">
        <f>Enteric_19!Q146</f>
        <v>112.45283297638042</v>
      </c>
      <c r="E23" s="62">
        <f>Enteric_19!K22</f>
        <v>0.14299999999999999</v>
      </c>
      <c r="F23" s="261">
        <f t="shared" si="10"/>
        <v>0.13945370289970643</v>
      </c>
      <c r="G23" s="194">
        <f t="shared" si="11"/>
        <v>50.90060155839285</v>
      </c>
      <c r="H23" s="317">
        <f>Enteric_19!E22</f>
        <v>0</v>
      </c>
      <c r="I23" s="189">
        <f>Enteric_19!G22</f>
        <v>0</v>
      </c>
      <c r="J23" s="196">
        <f t="shared" si="3"/>
        <v>0</v>
      </c>
      <c r="K23" s="199">
        <f>Enteric_19!C22</f>
        <v>0.7</v>
      </c>
      <c r="L23" s="199">
        <f>Enteric_19!E146</f>
        <v>11.433107036726055</v>
      </c>
      <c r="M23" s="240">
        <f t="shared" si="14"/>
        <v>1.7156041205090532E-2</v>
      </c>
      <c r="N23" s="318">
        <f t="shared" si="13"/>
        <v>1.7156041205090532E-2</v>
      </c>
      <c r="O23" s="208">
        <f t="shared" si="7"/>
        <v>6.2619550398580444</v>
      </c>
      <c r="P23" s="261">
        <f t="shared" si="5"/>
        <v>0.1230232030298182</v>
      </c>
      <c r="Q23" s="208">
        <f>G23-O23</f>
        <v>44.638646518534806</v>
      </c>
      <c r="R23" s="212">
        <f>(Q23*1000/B23)/365</f>
        <v>0.67943145385897719</v>
      </c>
      <c r="T23" s="316"/>
      <c r="V23" s="319"/>
      <c r="W23" s="319"/>
    </row>
    <row r="24" spans="1:23" x14ac:dyDescent="0.2">
      <c r="A24" s="190" t="str">
        <f>Enteric_19!A23</f>
        <v>Oceania</v>
      </c>
      <c r="B24" s="276"/>
      <c r="C24" s="276"/>
      <c r="D24" s="209"/>
      <c r="E24" s="192"/>
      <c r="F24" s="320"/>
      <c r="G24" s="195">
        <f>SUMPRODUCT(C25:C27,G25:G27)</f>
        <v>60.831355135783916</v>
      </c>
      <c r="H24" s="321"/>
      <c r="I24" s="193"/>
      <c r="J24" s="197"/>
      <c r="K24" s="200"/>
      <c r="L24" s="200"/>
      <c r="M24" s="322"/>
      <c r="N24" s="323"/>
      <c r="O24" s="209"/>
      <c r="P24" s="191">
        <f>SUMPRODUCT(P25:P27,C25:C27)</f>
        <v>5.2212481458817843E-2</v>
      </c>
      <c r="Q24" s="209">
        <f>SUMPRODUCT(Q25:Q27,C25:C27)</f>
        <v>57.96308365871441</v>
      </c>
      <c r="R24" s="191">
        <f>SUMPRODUCT(R25:R27,C25:C27)</f>
        <v>0.46279061904153374</v>
      </c>
      <c r="T24" s="316"/>
      <c r="V24" s="319"/>
      <c r="W24" s="319"/>
    </row>
    <row r="25" spans="1:23" x14ac:dyDescent="0.2">
      <c r="A25" s="271" t="str">
        <f>Enteric_19!A24</f>
        <v>Mature Females</v>
      </c>
      <c r="B25" s="273">
        <f>Enteric_19!B24</f>
        <v>416</v>
      </c>
      <c r="C25" s="47">
        <f>Enteric_19!M24</f>
        <v>0.45</v>
      </c>
      <c r="D25" s="208">
        <f>Enteric_19!Q148</f>
        <v>165.09660987450209</v>
      </c>
      <c r="E25" s="62">
        <f>Enteric_19!K24</f>
        <v>0.14000000000000001</v>
      </c>
      <c r="F25" s="261">
        <f t="shared" si="10"/>
        <v>0.20044249654140095</v>
      </c>
      <c r="G25" s="194">
        <f t="shared" si="11"/>
        <v>73.16151123761135</v>
      </c>
      <c r="H25" s="317">
        <f>Enteric_19!E24</f>
        <v>1.7</v>
      </c>
      <c r="I25" s="189">
        <f>Enteric_19!G24</f>
        <v>3.6999999999999998E-2</v>
      </c>
      <c r="J25" s="196">
        <f t="shared" si="3"/>
        <v>9.8589341692789968E-3</v>
      </c>
      <c r="K25" s="199"/>
      <c r="L25" s="199"/>
      <c r="M25" s="240"/>
      <c r="N25" s="318">
        <f t="shared" ref="N25:N27" si="15">J25+M25</f>
        <v>9.8589341692789968E-3</v>
      </c>
      <c r="O25" s="208">
        <f t="shared" si="7"/>
        <v>3.5985109717868338</v>
      </c>
      <c r="P25" s="261">
        <f t="shared" si="5"/>
        <v>4.9185848008247372E-2</v>
      </c>
      <c r="Q25" s="208">
        <f>G25-O25</f>
        <v>69.563000265824513</v>
      </c>
      <c r="R25" s="212">
        <f>(Q25*1000/B25)/365</f>
        <v>0.45813356339452393</v>
      </c>
      <c r="T25" s="316"/>
      <c r="V25" s="319"/>
      <c r="W25" s="319"/>
    </row>
    <row r="26" spans="1:23" x14ac:dyDescent="0.2">
      <c r="A26" s="271" t="str">
        <f>Enteric_19!A25</f>
        <v>Mature Males</v>
      </c>
      <c r="B26" s="273">
        <f>Enteric_19!B25</f>
        <v>467</v>
      </c>
      <c r="C26" s="47">
        <f>Enteric_19!M25</f>
        <v>0.25</v>
      </c>
      <c r="D26" s="208">
        <f>Enteric_19!Q149</f>
        <v>139.47622233010776</v>
      </c>
      <c r="E26" s="62">
        <f>Enteric_19!K25</f>
        <v>0.14000000000000001</v>
      </c>
      <c r="F26" s="261">
        <f t="shared" si="10"/>
        <v>0.16933698537639102</v>
      </c>
      <c r="G26" s="194">
        <f t="shared" si="11"/>
        <v>61.807999662382727</v>
      </c>
      <c r="H26" s="317">
        <f>Enteric_19!E25</f>
        <v>0</v>
      </c>
      <c r="I26" s="189">
        <f>Enteric_19!G25</f>
        <v>0</v>
      </c>
      <c r="J26" s="196">
        <f t="shared" si="3"/>
        <v>0</v>
      </c>
      <c r="K26" s="199"/>
      <c r="L26" s="199"/>
      <c r="M26" s="240"/>
      <c r="N26" s="318">
        <f t="shared" si="15"/>
        <v>0</v>
      </c>
      <c r="O26" s="208">
        <f t="shared" si="7"/>
        <v>0</v>
      </c>
      <c r="P26" s="261">
        <f t="shared" si="5"/>
        <v>0</v>
      </c>
      <c r="Q26" s="208">
        <f>G26-O26</f>
        <v>61.807999662382727</v>
      </c>
      <c r="R26" s="212">
        <f>(Q26*1000/B26)/365</f>
        <v>0.36260596440340692</v>
      </c>
      <c r="T26" s="316"/>
      <c r="V26" s="319"/>
      <c r="W26" s="319"/>
    </row>
    <row r="27" spans="1:23" x14ac:dyDescent="0.2">
      <c r="A27" s="271" t="str">
        <f>Enteric_19!A26</f>
        <v>Young</v>
      </c>
      <c r="B27" s="208">
        <f>Enteric_19!B26</f>
        <v>185</v>
      </c>
      <c r="C27" s="47">
        <f>Enteric_19!M26</f>
        <v>0.3</v>
      </c>
      <c r="D27" s="208">
        <f>Enteric_19!Q150</f>
        <v>93.699305594506072</v>
      </c>
      <c r="E27" s="62">
        <f>Enteric_19!K26</f>
        <v>0.14000000000000001</v>
      </c>
      <c r="F27" s="261">
        <f t="shared" si="10"/>
        <v>0.11375959053208329</v>
      </c>
      <c r="G27" s="194">
        <f t="shared" si="11"/>
        <v>41.522250544210401</v>
      </c>
      <c r="H27" s="317">
        <f>Enteric_19!E26</f>
        <v>0</v>
      </c>
      <c r="I27" s="189">
        <f>Enteric_19!G26</f>
        <v>0</v>
      </c>
      <c r="J27" s="196">
        <f t="shared" si="3"/>
        <v>0</v>
      </c>
      <c r="K27" s="199">
        <f>Enteric_19!C26</f>
        <v>0.41</v>
      </c>
      <c r="L27" s="199">
        <f>Enteric_19!E150</f>
        <v>5.489812579442475</v>
      </c>
      <c r="M27" s="240">
        <f>(K27*(268-7.03*(L27/K27))/1000)/6.25</f>
        <v>1.1405858810643104E-2</v>
      </c>
      <c r="N27" s="318">
        <f t="shared" si="15"/>
        <v>1.1405858810643104E-2</v>
      </c>
      <c r="O27" s="208">
        <f t="shared" si="7"/>
        <v>4.1631384658847335</v>
      </c>
      <c r="P27" s="261">
        <f t="shared" si="5"/>
        <v>0.10026283285035509</v>
      </c>
      <c r="Q27" s="208">
        <f>G27-O27</f>
        <v>37.359112078325666</v>
      </c>
      <c r="R27" s="212">
        <f>(Q27*1000/B27)/365</f>
        <v>0.55326341471048734</v>
      </c>
      <c r="T27" s="316"/>
      <c r="V27" s="319"/>
      <c r="W27" s="319"/>
    </row>
    <row r="28" spans="1:23" x14ac:dyDescent="0.2">
      <c r="A28" s="190" t="str">
        <f>Enteric_19!A27</f>
        <v>Latin America</v>
      </c>
      <c r="B28" s="209"/>
      <c r="C28" s="278"/>
      <c r="D28" s="209"/>
      <c r="E28" s="192"/>
      <c r="F28" s="320"/>
      <c r="G28" s="195">
        <f>SUMPRODUCT(C29:C35,G29:G35)</f>
        <v>38.446078756798336</v>
      </c>
      <c r="H28" s="321"/>
      <c r="I28" s="193"/>
      <c r="J28" s="197"/>
      <c r="K28" s="200"/>
      <c r="L28" s="200"/>
      <c r="M28" s="322"/>
      <c r="N28" s="323"/>
      <c r="O28" s="209"/>
      <c r="P28" s="191">
        <f>SUMPRODUCT(P29:P35,C29:C35)</f>
        <v>0.13263677215104319</v>
      </c>
      <c r="Q28" s="209">
        <f>SUMPRODUCT(Q29:Q35,C29:C35)</f>
        <v>34.839312010576926</v>
      </c>
      <c r="R28" s="191">
        <f>SUMPRODUCT(R29:R35,C29:C35)</f>
        <v>0.30881213627472481</v>
      </c>
      <c r="T28" s="316"/>
      <c r="V28" s="319"/>
      <c r="W28" s="319"/>
    </row>
    <row r="29" spans="1:23" x14ac:dyDescent="0.2">
      <c r="A29" s="271" t="str">
        <f>Enteric_19!A28</f>
        <v xml:space="preserve"> Mature Females</v>
      </c>
      <c r="B29" s="208">
        <f>Enteric_19!B28</f>
        <v>434.72560975609758</v>
      </c>
      <c r="C29" s="47">
        <f>Enteric_19!M28</f>
        <v>0.36080000000000001</v>
      </c>
      <c r="D29" s="208">
        <f>Enteric_19!Q152</f>
        <v>176.58804080907382</v>
      </c>
      <c r="E29" s="62">
        <f>Enteric_19!K28</f>
        <v>9.541768292682927E-2</v>
      </c>
      <c r="F29" s="261">
        <f>D29/18.45*(E29/6.25)</f>
        <v>0.14612138047991494</v>
      </c>
      <c r="G29" s="194">
        <f t="shared" si="11"/>
        <v>53.334303875168949</v>
      </c>
      <c r="H29" s="317">
        <f>Enteric_19!E28</f>
        <v>1.9893292682926829</v>
      </c>
      <c r="I29" s="189">
        <f>Enteric_19!G28</f>
        <v>3.5000000000000003E-2</v>
      </c>
      <c r="J29" s="196">
        <f t="shared" si="3"/>
        <v>1.0913248337028825E-2</v>
      </c>
      <c r="K29" s="199">
        <f>Enteric_19!C28</f>
        <v>0</v>
      </c>
      <c r="L29" s="199">
        <f>Enteric_19!E152</f>
        <v>0</v>
      </c>
      <c r="M29" s="240"/>
      <c r="N29" s="318">
        <f>J29+M29</f>
        <v>1.0913248337028825E-2</v>
      </c>
      <c r="O29" s="208">
        <f t="shared" si="7"/>
        <v>3.9833356430155211</v>
      </c>
      <c r="P29" s="261">
        <f t="shared" si="5"/>
        <v>7.4686184192797864E-2</v>
      </c>
      <c r="Q29" s="208">
        <f t="shared" ref="Q29:Q35" si="16">G29-O29</f>
        <v>49.350968232153427</v>
      </c>
      <c r="R29" s="212">
        <f t="shared" ref="R29:R35" si="17">(Q29*1000/B29)/365</f>
        <v>0.31101947782359657</v>
      </c>
      <c r="T29" s="316"/>
      <c r="V29" s="319"/>
      <c r="W29" s="319"/>
    </row>
    <row r="30" spans="1:23" x14ac:dyDescent="0.2">
      <c r="A30" s="271" t="str">
        <f>Enteric_19!A29</f>
        <v xml:space="preserve"> Mature Males</v>
      </c>
      <c r="B30" s="208">
        <f>Enteric_19!B29</f>
        <v>581.94915254237287</v>
      </c>
      <c r="C30" s="47">
        <f>Enteric_19!M29</f>
        <v>1.77E-2</v>
      </c>
      <c r="D30" s="208">
        <f>Enteric_19!Q153</f>
        <v>176.12811867850152</v>
      </c>
      <c r="E30" s="62">
        <f>Enteric_19!K29</f>
        <v>9.8079096045197739E-2</v>
      </c>
      <c r="F30" s="261">
        <f t="shared" ref="F30:F35" si="18">D30/18.45*(E30/6.25)</f>
        <v>0.14980584644447684</v>
      </c>
      <c r="G30" s="194">
        <f t="shared" si="11"/>
        <v>54.679133952234046</v>
      </c>
      <c r="H30" s="317">
        <f>Enteric_19!E29</f>
        <v>0</v>
      </c>
      <c r="I30" s="189">
        <f>Enteric_19!G29</f>
        <v>0</v>
      </c>
      <c r="J30" s="196">
        <f t="shared" ref="J30:J35" si="19">H30*I30/6.38</f>
        <v>0</v>
      </c>
      <c r="K30" s="199">
        <f>Enteric_19!C29</f>
        <v>0</v>
      </c>
      <c r="L30" s="199">
        <f>Enteric_19!E153</f>
        <v>0</v>
      </c>
      <c r="M30" s="240"/>
      <c r="N30" s="318">
        <f t="shared" ref="N30:N35" si="20">J30+M30</f>
        <v>0</v>
      </c>
      <c r="O30" s="208">
        <f t="shared" si="7"/>
        <v>0</v>
      </c>
      <c r="P30" s="261">
        <f t="shared" si="5"/>
        <v>0</v>
      </c>
      <c r="Q30" s="208">
        <f t="shared" si="16"/>
        <v>54.679133952234046</v>
      </c>
      <c r="R30" s="212">
        <f t="shared" si="17"/>
        <v>0.25742085161567307</v>
      </c>
      <c r="T30" s="316"/>
      <c r="V30" s="319"/>
      <c r="W30" s="319"/>
    </row>
    <row r="31" spans="1:23" x14ac:dyDescent="0.2">
      <c r="A31" s="271" t="str">
        <f>Enteric_19!A30</f>
        <v>Growing heifers/steers</v>
      </c>
      <c r="B31" s="208">
        <f>Enteric_19!B30</f>
        <v>240</v>
      </c>
      <c r="C31" s="47">
        <f>Enteric_19!M30</f>
        <v>0.22</v>
      </c>
      <c r="D31" s="208">
        <f>Enteric_19!Q154</f>
        <v>103.40467429904187</v>
      </c>
      <c r="E31" s="62">
        <f>Enteric_19!K30</f>
        <v>9.7979999999999998E-2</v>
      </c>
      <c r="F31" s="261">
        <f t="shared" si="18"/>
        <v>8.7862026994646056E-2</v>
      </c>
      <c r="G31" s="194">
        <f t="shared" si="11"/>
        <v>32.069639853045807</v>
      </c>
      <c r="H31" s="317">
        <f>Enteric_19!E30</f>
        <v>0</v>
      </c>
      <c r="I31" s="189">
        <f>Enteric_19!G30</f>
        <v>0</v>
      </c>
      <c r="J31" s="196">
        <f t="shared" si="19"/>
        <v>0</v>
      </c>
      <c r="K31" s="199">
        <f>Enteric_19!C30</f>
        <v>0.34599999999999997</v>
      </c>
      <c r="L31" s="199">
        <f>Enteric_19!E154</f>
        <v>4.6915765140263694</v>
      </c>
      <c r="M31" s="240">
        <f>(K31*(268-7.03*(L31/K31))/1000)/6.25</f>
        <v>9.5593947370231375E-3</v>
      </c>
      <c r="N31" s="318">
        <f t="shared" si="20"/>
        <v>9.5593947370231375E-3</v>
      </c>
      <c r="O31" s="208">
        <f t="shared" si="7"/>
        <v>3.4891790790134452</v>
      </c>
      <c r="P31" s="261">
        <f t="shared" si="5"/>
        <v>0.10880007056524711</v>
      </c>
      <c r="Q31" s="208">
        <f t="shared" si="16"/>
        <v>28.58046077403236</v>
      </c>
      <c r="R31" s="212">
        <f t="shared" si="17"/>
        <v>0.32626096774009544</v>
      </c>
      <c r="T31" s="316"/>
      <c r="V31" s="319"/>
      <c r="W31" s="319"/>
    </row>
    <row r="32" spans="1:23" x14ac:dyDescent="0.2">
      <c r="A32" s="271" t="str">
        <f>Enteric_19!A31</f>
        <v>Replacement/growing</v>
      </c>
      <c r="B32" s="208">
        <f>Enteric_19!B31</f>
        <v>302.05898416166031</v>
      </c>
      <c r="C32" s="47">
        <f>Enteric_19!M31</f>
        <v>0.18310000000000001</v>
      </c>
      <c r="D32" s="208">
        <f>Enteric_19!Q155</f>
        <v>124.07819297158518</v>
      </c>
      <c r="E32" s="62">
        <f>Enteric_19!K31</f>
        <v>9.6416712179137082E-2</v>
      </c>
      <c r="F32" s="261">
        <f t="shared" si="18"/>
        <v>0.10374600688952854</v>
      </c>
      <c r="G32" s="194">
        <f t="shared" si="11"/>
        <v>37.867292514677914</v>
      </c>
      <c r="H32" s="317">
        <f>Enteric_19!E31</f>
        <v>0</v>
      </c>
      <c r="I32" s="189">
        <f>Enteric_19!G31</f>
        <v>0</v>
      </c>
      <c r="J32" s="196">
        <f t="shared" si="19"/>
        <v>0</v>
      </c>
      <c r="K32" s="199">
        <f>Enteric_19!C31</f>
        <v>0.34019661387220101</v>
      </c>
      <c r="L32" s="199">
        <f>Enteric_19!E155</f>
        <v>5.4818697492153596</v>
      </c>
      <c r="M32" s="240">
        <f t="shared" ref="M32:M35" si="21">(K32*(268-7.03*(L32/K32))/1000)/6.25</f>
        <v>8.4216237089225435E-3</v>
      </c>
      <c r="N32" s="318">
        <f t="shared" si="20"/>
        <v>8.4216237089225435E-3</v>
      </c>
      <c r="O32" s="208">
        <f t="shared" si="7"/>
        <v>3.0738926537567286</v>
      </c>
      <c r="P32" s="261">
        <f t="shared" si="5"/>
        <v>8.1175400976059825E-2</v>
      </c>
      <c r="Q32" s="208">
        <f t="shared" si="16"/>
        <v>34.793399860921184</v>
      </c>
      <c r="R32" s="212">
        <f t="shared" si="17"/>
        <v>0.31558201602634306</v>
      </c>
      <c r="T32" s="316"/>
      <c r="V32" s="319"/>
      <c r="W32" s="319"/>
    </row>
    <row r="33" spans="1:42" x14ac:dyDescent="0.2">
      <c r="A33" s="271" t="str">
        <f>Enteric_19!A32</f>
        <v>Calves on milk</v>
      </c>
      <c r="B33" s="208">
        <f>Enteric_19!B32</f>
        <v>65.804971319311662</v>
      </c>
      <c r="C33" s="47">
        <f>Enteric_19!M32</f>
        <v>0.10460000000000001</v>
      </c>
      <c r="D33" s="208">
        <f>Enteric_19!Q156</f>
        <v>26.212427297411374</v>
      </c>
      <c r="E33" s="62">
        <f>Enteric_19!K32</f>
        <v>9.5000000000000001E-2</v>
      </c>
      <c r="F33" s="261">
        <f t="shared" si="18"/>
        <v>2.1595062055319941E-2</v>
      </c>
      <c r="G33" s="194">
        <f t="shared" si="11"/>
        <v>7.8821976501917783</v>
      </c>
      <c r="H33" s="317">
        <f>Enteric_19!E32</f>
        <v>0</v>
      </c>
      <c r="I33" s="189">
        <f>Enteric_19!G32</f>
        <v>0</v>
      </c>
      <c r="J33" s="196">
        <f t="shared" si="19"/>
        <v>0</v>
      </c>
      <c r="K33" s="199">
        <f>Enteric_19!C32</f>
        <v>0.35277246653919692</v>
      </c>
      <c r="L33" s="199">
        <f>Enteric_19!E156</f>
        <v>3.8188179225064625</v>
      </c>
      <c r="M33" s="240">
        <f t="shared" si="21"/>
        <v>1.0831476965965495E-2</v>
      </c>
      <c r="N33" s="318">
        <f t="shared" si="20"/>
        <v>1.0831476965965495E-2</v>
      </c>
      <c r="O33" s="208">
        <f t="shared" si="7"/>
        <v>3.9534890925774056</v>
      </c>
      <c r="P33" s="261">
        <f t="shared" si="5"/>
        <v>0.50157193057461769</v>
      </c>
      <c r="Q33" s="208">
        <f t="shared" si="16"/>
        <v>3.9287085576143728</v>
      </c>
      <c r="R33" s="212">
        <f t="shared" si="17"/>
        <v>0.16356796262588258</v>
      </c>
      <c r="T33" s="316"/>
      <c r="V33" s="319"/>
      <c r="W33" s="319"/>
    </row>
    <row r="34" spans="1:42" x14ac:dyDescent="0.2">
      <c r="A34" s="271" t="str">
        <f>Enteric_19!A33</f>
        <v>Calves on forage</v>
      </c>
      <c r="B34" s="208">
        <f>Enteric_19!B33</f>
        <v>159.51242829827916</v>
      </c>
      <c r="C34" s="47">
        <f>Enteric_19!M33</f>
        <v>0.10460000000000001</v>
      </c>
      <c r="D34" s="208">
        <f>Enteric_19!Q157</f>
        <v>84.89445131189224</v>
      </c>
      <c r="E34" s="62">
        <f>Enteric_19!K33</f>
        <v>0.10017973231357552</v>
      </c>
      <c r="F34" s="261">
        <f t="shared" si="18"/>
        <v>7.3753525483648649E-2</v>
      </c>
      <c r="G34" s="194">
        <f t="shared" si="11"/>
        <v>26.920036801531758</v>
      </c>
      <c r="H34" s="317">
        <f>Enteric_19!E33</f>
        <v>0</v>
      </c>
      <c r="I34" s="189">
        <f>Enteric_19!G33</f>
        <v>0</v>
      </c>
      <c r="J34" s="196">
        <f t="shared" si="19"/>
        <v>0</v>
      </c>
      <c r="K34" s="199">
        <f>Enteric_19!C33</f>
        <v>0.35277246653919692</v>
      </c>
      <c r="L34" s="199">
        <f>Enteric_19!E157</f>
        <v>5.0042411358013856</v>
      </c>
      <c r="M34" s="240">
        <f t="shared" si="21"/>
        <v>9.4981129356513632E-3</v>
      </c>
      <c r="N34" s="318">
        <f t="shared" si="20"/>
        <v>9.4981129356513632E-3</v>
      </c>
      <c r="O34" s="208">
        <f t="shared" si="7"/>
        <v>3.4668112215127476</v>
      </c>
      <c r="P34" s="261">
        <f t="shared" si="5"/>
        <v>0.12878181583003948</v>
      </c>
      <c r="Q34" s="208">
        <f t="shared" si="16"/>
        <v>23.453225580019009</v>
      </c>
      <c r="R34" s="212">
        <f t="shared" si="17"/>
        <v>0.4028238629020387</v>
      </c>
      <c r="T34" s="316"/>
      <c r="V34" s="319"/>
      <c r="W34" s="319"/>
    </row>
    <row r="35" spans="1:42" x14ac:dyDescent="0.2">
      <c r="A35" s="271" t="str">
        <f>Enteric_19!A34</f>
        <v xml:space="preserve">Feedlot cattle </v>
      </c>
      <c r="B35" s="208">
        <f>Enteric_19!B34</f>
        <v>460</v>
      </c>
      <c r="C35" s="47">
        <f>Enteric_19!M34</f>
        <v>9.1999999999999998E-3</v>
      </c>
      <c r="D35" s="208">
        <f>Enteric_19!Q158</f>
        <v>148.66744685220613</v>
      </c>
      <c r="E35" s="62">
        <f>Enteric_19!K34</f>
        <v>0.14000000000000001</v>
      </c>
      <c r="F35" s="261">
        <f t="shared" si="18"/>
        <v>0.18049597883411478</v>
      </c>
      <c r="G35" s="194">
        <f t="shared" si="11"/>
        <v>65.881032274451897</v>
      </c>
      <c r="H35" s="317">
        <f>Enteric_19!E34</f>
        <v>0</v>
      </c>
      <c r="I35" s="189">
        <f>Enteric_19!G34</f>
        <v>0</v>
      </c>
      <c r="J35" s="196">
        <f t="shared" si="19"/>
        <v>0</v>
      </c>
      <c r="K35" s="199">
        <f>Enteric_19!C34</f>
        <v>0.9</v>
      </c>
      <c r="L35" s="199">
        <f>Enteric_19!E158</f>
        <v>17.639359807365828</v>
      </c>
      <c r="M35" s="240">
        <f t="shared" si="21"/>
        <v>1.8751248088674913E-2</v>
      </c>
      <c r="N35" s="318">
        <f t="shared" si="20"/>
        <v>1.8751248088674913E-2</v>
      </c>
      <c r="O35" s="208">
        <f t="shared" si="7"/>
        <v>6.8442055523663434</v>
      </c>
      <c r="P35" s="261">
        <f t="shared" si="5"/>
        <v>0.10388734535691949</v>
      </c>
      <c r="Q35" s="208">
        <f t="shared" si="16"/>
        <v>59.03682672208555</v>
      </c>
      <c r="R35" s="212">
        <f t="shared" si="17"/>
        <v>0.35161897988139101</v>
      </c>
      <c r="T35" s="316"/>
      <c r="V35" s="319"/>
      <c r="W35" s="319"/>
    </row>
    <row r="36" spans="1:42" x14ac:dyDescent="0.2">
      <c r="A36" s="201" t="str">
        <f>Enteric_19!A35</f>
        <v>Latin America_low productivity systems</v>
      </c>
      <c r="B36" s="210"/>
      <c r="C36" s="126"/>
      <c r="D36" s="210"/>
      <c r="E36" s="202"/>
      <c r="F36" s="324"/>
      <c r="G36" s="203">
        <f>SUMPRODUCT(C37:C42,G37:G42)</f>
        <v>35.429602062023186</v>
      </c>
      <c r="H36" s="325"/>
      <c r="I36" s="204"/>
      <c r="J36" s="205"/>
      <c r="K36" s="206"/>
      <c r="L36" s="206"/>
      <c r="M36" s="326"/>
      <c r="N36" s="327"/>
      <c r="O36" s="210"/>
      <c r="P36" s="211">
        <f>SUMPRODUCT(P37:P42,C37:C42)</f>
        <v>0.12542844070185094</v>
      </c>
      <c r="Q36" s="210">
        <f>SUMPRODUCT(Q37:Q42,C37:C42)</f>
        <v>32.36988823229607</v>
      </c>
      <c r="R36" s="211">
        <f>SUMPRODUCT(R37:R42,C37:C42)</f>
        <v>0.29325179363009374</v>
      </c>
      <c r="T36" s="316"/>
      <c r="V36" s="319"/>
      <c r="W36" s="319"/>
    </row>
    <row r="37" spans="1:42" x14ac:dyDescent="0.2">
      <c r="A37" s="271" t="str">
        <f>Enteric_19!A36</f>
        <v xml:space="preserve"> Mature Females</v>
      </c>
      <c r="B37" s="208">
        <f>Enteric_19!B36</f>
        <v>420</v>
      </c>
      <c r="C37" s="47">
        <f>Enteric_19!M36</f>
        <v>0.37</v>
      </c>
      <c r="D37" s="208">
        <f>Enteric_19!Q160</f>
        <v>172.01026490613808</v>
      </c>
      <c r="E37" s="62">
        <f>Enteric_19!K36</f>
        <v>9.0999999999999998E-2</v>
      </c>
      <c r="F37" s="261">
        <f>D37/18.45*(E37/6.25)</f>
        <v>0.13574360200722874</v>
      </c>
      <c r="G37" s="194">
        <f>F37*365</f>
        <v>49.546414732638489</v>
      </c>
      <c r="H37" s="317">
        <f>Enteric_19!E36</f>
        <v>1.8</v>
      </c>
      <c r="I37" s="189">
        <f>Enteric_19!G36</f>
        <v>3.2000000000000001E-2</v>
      </c>
      <c r="J37" s="196">
        <f t="shared" si="3"/>
        <v>9.028213166144201E-3</v>
      </c>
      <c r="K37" s="199">
        <f>Enteric_19!C36</f>
        <v>0</v>
      </c>
      <c r="L37" s="199">
        <f>Enteric_19!E160</f>
        <v>0</v>
      </c>
      <c r="M37" s="240"/>
      <c r="N37" s="318">
        <f t="shared" ref="N37:N42" si="22">J37+M37</f>
        <v>9.028213166144201E-3</v>
      </c>
      <c r="O37" s="208">
        <f t="shared" si="7"/>
        <v>3.2952978056426332</v>
      </c>
      <c r="P37" s="261">
        <f t="shared" si="5"/>
        <v>6.6509308966645975E-2</v>
      </c>
      <c r="Q37" s="208">
        <f t="shared" ref="Q37:Q42" si="23">G37-O37</f>
        <v>46.251116926995856</v>
      </c>
      <c r="R37" s="212">
        <f t="shared" ref="R37:R42" si="24">(Q37*1000/B37)/365</f>
        <v>0.30170330676448698</v>
      </c>
      <c r="T37" s="316"/>
      <c r="V37" s="319"/>
      <c r="W37" s="319"/>
    </row>
    <row r="38" spans="1:42" x14ac:dyDescent="0.2">
      <c r="A38" s="271" t="str">
        <f>Enteric_19!A37</f>
        <v xml:space="preserve"> Mature Males</v>
      </c>
      <c r="B38" s="208">
        <f>Enteric_19!B37</f>
        <v>580</v>
      </c>
      <c r="C38" s="47">
        <f>Enteric_19!M37</f>
        <v>0.02</v>
      </c>
      <c r="D38" s="208">
        <f>Enteric_19!Q161</f>
        <v>176.88071117178623</v>
      </c>
      <c r="E38" s="62">
        <f>Enteric_19!K37</f>
        <v>9.6000000000000002E-2</v>
      </c>
      <c r="F38" s="261">
        <f t="shared" si="10"/>
        <v>0.14725678718691798</v>
      </c>
      <c r="G38" s="194">
        <f t="shared" si="11"/>
        <v>53.748727323225062</v>
      </c>
      <c r="H38" s="317">
        <f>Enteric_19!E44</f>
        <v>0</v>
      </c>
      <c r="I38" s="189">
        <f>Enteric_19!G44</f>
        <v>0</v>
      </c>
      <c r="J38" s="196">
        <f t="shared" ref="J38:J42" si="25">H38*I38/6.38</f>
        <v>0</v>
      </c>
      <c r="K38" s="199">
        <f>Enteric_19!C37</f>
        <v>0</v>
      </c>
      <c r="L38" s="199">
        <f>Enteric_19!E161</f>
        <v>0</v>
      </c>
      <c r="M38" s="240"/>
      <c r="N38" s="318">
        <f t="shared" si="22"/>
        <v>0</v>
      </c>
      <c r="O38" s="208">
        <f t="shared" si="7"/>
        <v>0</v>
      </c>
      <c r="P38" s="261">
        <f t="shared" si="5"/>
        <v>0</v>
      </c>
      <c r="Q38" s="208">
        <f t="shared" si="23"/>
        <v>53.748727323225062</v>
      </c>
      <c r="R38" s="212">
        <f t="shared" si="24"/>
        <v>0.2538910123912379</v>
      </c>
      <c r="T38" s="316"/>
      <c r="V38" s="319"/>
      <c r="W38" s="319"/>
    </row>
    <row r="39" spans="1:42" x14ac:dyDescent="0.2">
      <c r="A39" s="271" t="str">
        <f>Enteric_19!A38</f>
        <v>Growing heifers/steers</v>
      </c>
      <c r="B39" s="208">
        <f>Enteric_19!B38</f>
        <v>240</v>
      </c>
      <c r="C39" s="47">
        <f>Enteric_19!M38</f>
        <v>0.22</v>
      </c>
      <c r="D39" s="208">
        <f>Enteric_19!Q162</f>
        <v>101.77339950731688</v>
      </c>
      <c r="E39" s="62">
        <f>Enteric_19!K38</f>
        <v>9.1999999999999998E-2</v>
      </c>
      <c r="F39" s="261">
        <f t="shared" si="10"/>
        <v>8.1198072669252289E-2</v>
      </c>
      <c r="G39" s="194">
        <f t="shared" si="11"/>
        <v>29.637296524277087</v>
      </c>
      <c r="H39" s="317">
        <f>Enteric_19!E45</f>
        <v>0</v>
      </c>
      <c r="I39" s="189">
        <f>Enteric_19!G45</f>
        <v>0</v>
      </c>
      <c r="J39" s="196">
        <f t="shared" si="25"/>
        <v>0</v>
      </c>
      <c r="K39" s="199">
        <f>Enteric_19!C38</f>
        <v>0.3</v>
      </c>
      <c r="L39" s="199">
        <f>Enteric_19!E162</f>
        <v>4.068302261295031</v>
      </c>
      <c r="M39" s="240">
        <f t="shared" ref="M39:M42" si="26">(K39*(268-7.03*(L39/K39))/1000)/6.25</f>
        <v>8.2879736164953484E-3</v>
      </c>
      <c r="N39" s="318">
        <f t="shared" si="22"/>
        <v>8.2879736164953484E-3</v>
      </c>
      <c r="O39" s="208">
        <f t="shared" si="7"/>
        <v>3.0251103700208022</v>
      </c>
      <c r="P39" s="261">
        <f t="shared" si="5"/>
        <v>0.10207106331519861</v>
      </c>
      <c r="Q39" s="208">
        <f t="shared" si="23"/>
        <v>26.612186154256285</v>
      </c>
      <c r="R39" s="212">
        <f t="shared" si="24"/>
        <v>0.30379207938648728</v>
      </c>
      <c r="T39" s="316"/>
      <c r="V39" s="319"/>
      <c r="W39" s="319"/>
    </row>
    <row r="40" spans="1:42" x14ac:dyDescent="0.2">
      <c r="A40" s="271" t="str">
        <f>Enteric_19!A39</f>
        <v>Replacement/growing</v>
      </c>
      <c r="B40" s="208">
        <f>Enteric_19!B39</f>
        <v>290</v>
      </c>
      <c r="C40" s="47">
        <f>Enteric_19!M39</f>
        <v>0.19</v>
      </c>
      <c r="D40" s="208">
        <f>Enteric_19!Q163</f>
        <v>117.29360879516591</v>
      </c>
      <c r="E40" s="62">
        <f>Enteric_19!K39</f>
        <v>9.2999999999999999E-2</v>
      </c>
      <c r="F40" s="261">
        <f t="shared" si="10"/>
        <v>9.4597772296589097E-2</v>
      </c>
      <c r="G40" s="194">
        <f t="shared" si="11"/>
        <v>34.528186888255021</v>
      </c>
      <c r="H40" s="317">
        <f>Enteric_19!E46</f>
        <v>0</v>
      </c>
      <c r="I40" s="189">
        <f>Enteric_19!G46</f>
        <v>0</v>
      </c>
      <c r="J40" s="196">
        <f t="shared" si="25"/>
        <v>0</v>
      </c>
      <c r="K40" s="199">
        <f>Enteric_19!C39</f>
        <v>0.3</v>
      </c>
      <c r="L40" s="199">
        <f>Enteric_19!E163</f>
        <v>4.6887089967209086</v>
      </c>
      <c r="M40" s="240">
        <f t="shared" si="26"/>
        <v>7.5901401204883203E-3</v>
      </c>
      <c r="N40" s="318">
        <f t="shared" si="22"/>
        <v>7.5901401204883203E-3</v>
      </c>
      <c r="O40" s="208">
        <f t="shared" si="7"/>
        <v>2.770401143978237</v>
      </c>
      <c r="P40" s="261">
        <f t="shared" si="5"/>
        <v>8.0235928777384086E-2</v>
      </c>
      <c r="Q40" s="208">
        <f t="shared" si="23"/>
        <v>31.757785744276784</v>
      </c>
      <c r="R40" s="212">
        <f t="shared" si="24"/>
        <v>0.30002631784862338</v>
      </c>
      <c r="T40" s="316"/>
      <c r="V40" s="319"/>
      <c r="W40" s="319"/>
    </row>
    <row r="41" spans="1:42" x14ac:dyDescent="0.2">
      <c r="A41" s="271" t="str">
        <f>Enteric_19!A40</f>
        <v>Calves on milk</v>
      </c>
      <c r="B41" s="208">
        <f>Enteric_19!B40</f>
        <v>60</v>
      </c>
      <c r="C41" s="47">
        <f>Enteric_19!M40</f>
        <v>0.1</v>
      </c>
      <c r="D41" s="208">
        <f>Enteric_19!Q164</f>
        <v>23.096951405670307</v>
      </c>
      <c r="E41" s="62">
        <f>Enteric_19!K40</f>
        <v>9.5000000000000001E-2</v>
      </c>
      <c r="F41" s="261">
        <f t="shared" si="10"/>
        <v>1.9028382729874727E-2</v>
      </c>
      <c r="G41" s="194">
        <f t="shared" si="11"/>
        <v>6.9453596964042754</v>
      </c>
      <c r="H41" s="317">
        <f>Enteric_19!E47</f>
        <v>0</v>
      </c>
      <c r="I41" s="189">
        <f>Enteric_19!G47</f>
        <v>0</v>
      </c>
      <c r="J41" s="196">
        <f t="shared" si="25"/>
        <v>0</v>
      </c>
      <c r="K41" s="199">
        <f>Enteric_19!C40</f>
        <v>0.3</v>
      </c>
      <c r="L41" s="199">
        <f>Enteric_19!E164</f>
        <v>3.0483224165360725</v>
      </c>
      <c r="M41" s="240">
        <f t="shared" si="26"/>
        <v>9.4352469458802244E-3</v>
      </c>
      <c r="N41" s="318">
        <f t="shared" si="22"/>
        <v>9.4352469458802244E-3</v>
      </c>
      <c r="O41" s="208">
        <f>N41*365</f>
        <v>3.4438651352462819</v>
      </c>
      <c r="P41" s="261">
        <f t="shared" si="5"/>
        <v>0.49585122812706539</v>
      </c>
      <c r="Q41" s="208">
        <f t="shared" si="23"/>
        <v>3.5014945611579935</v>
      </c>
      <c r="R41" s="212">
        <f t="shared" si="24"/>
        <v>0.15988559639990835</v>
      </c>
      <c r="T41" s="316"/>
      <c r="V41" s="319"/>
      <c r="W41" s="319"/>
    </row>
    <row r="42" spans="1:42" x14ac:dyDescent="0.2">
      <c r="A42" s="271" t="str">
        <f>Enteric_19!A41</f>
        <v>Calves on forage</v>
      </c>
      <c r="B42" s="208">
        <f>Enteric_19!B41</f>
        <v>145</v>
      </c>
      <c r="C42" s="47">
        <f>Enteric_19!M41</f>
        <v>0.1</v>
      </c>
      <c r="D42" s="208">
        <f>Enteric_19!Q165</f>
        <v>77.173434933398923</v>
      </c>
      <c r="E42" s="62">
        <f>Enteric_19!K41</f>
        <v>9.1999999999999998E-2</v>
      </c>
      <c r="F42" s="261">
        <f>D42/18.45*(E42/6.25)</f>
        <v>6.1571434266646734E-2</v>
      </c>
      <c r="G42" s="194">
        <f t="shared" si="11"/>
        <v>22.473573507326059</v>
      </c>
      <c r="H42" s="317">
        <f>Enteric_19!E48</f>
        <v>0</v>
      </c>
      <c r="I42" s="189">
        <f>Enteric_19!G48</f>
        <v>0</v>
      </c>
      <c r="J42" s="196">
        <f t="shared" si="25"/>
        <v>0</v>
      </c>
      <c r="K42" s="199">
        <f>Enteric_19!C41</f>
        <v>0.3</v>
      </c>
      <c r="L42" s="199">
        <f>Enteric_19!E165</f>
        <v>4.027976252599661</v>
      </c>
      <c r="M42" s="240">
        <f t="shared" si="26"/>
        <v>8.3333323110759E-3</v>
      </c>
      <c r="N42" s="318">
        <f t="shared" si="22"/>
        <v>8.3333323110759E-3</v>
      </c>
      <c r="O42" s="208">
        <f t="shared" si="7"/>
        <v>3.0416662935427037</v>
      </c>
      <c r="P42" s="261">
        <f t="shared" si="5"/>
        <v>0.135344131744387</v>
      </c>
      <c r="Q42" s="208">
        <f t="shared" si="23"/>
        <v>19.431907213783354</v>
      </c>
      <c r="R42" s="212">
        <f t="shared" si="24"/>
        <v>0.36715932383152294</v>
      </c>
      <c r="T42" s="316"/>
      <c r="V42" s="319"/>
      <c r="W42" s="319"/>
    </row>
    <row r="43" spans="1:42" s="328" customFormat="1" x14ac:dyDescent="0.2">
      <c r="A43" s="201" t="str">
        <f>Enteric_19!A42</f>
        <v>Latin America_high productivity systems</v>
      </c>
      <c r="B43" s="210"/>
      <c r="C43" s="126"/>
      <c r="D43" s="210"/>
      <c r="E43" s="202"/>
      <c r="F43" s="324"/>
      <c r="G43" s="203">
        <f>SUMPRODUCT(C44:C50,G44:G50)</f>
        <v>49.308808921979121</v>
      </c>
      <c r="H43" s="325"/>
      <c r="I43" s="204"/>
      <c r="J43" s="205"/>
      <c r="K43" s="206"/>
      <c r="L43" s="206"/>
      <c r="M43" s="326"/>
      <c r="N43" s="327"/>
      <c r="O43" s="210"/>
      <c r="P43" s="211">
        <f>SUMPRODUCT(P44:P50,C44:C50)</f>
        <v>0.14081089048121276</v>
      </c>
      <c r="Q43" s="210">
        <f>SUMPRODUCT(Q44:Q50,C44:C50)</f>
        <v>44.445581889751963</v>
      </c>
      <c r="R43" s="211">
        <f>SUMPRODUCT(R44:R50,C44:C50)</f>
        <v>0.36485760669553574</v>
      </c>
      <c r="S43" s="2"/>
      <c r="T43" s="316"/>
      <c r="U43" s="2"/>
      <c r="V43" s="319"/>
      <c r="W43" s="31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328" customFormat="1" x14ac:dyDescent="0.2">
      <c r="A44" s="271" t="str">
        <f>Enteric_19!A43</f>
        <v xml:space="preserve"> Mature Females</v>
      </c>
      <c r="B44" s="208">
        <f>Enteric_19!B43</f>
        <v>490</v>
      </c>
      <c r="C44" s="47">
        <f>Enteric_19!M43</f>
        <v>0.33</v>
      </c>
      <c r="D44" s="208">
        <f>Enteric_19!Q167</f>
        <v>192.80575101666693</v>
      </c>
      <c r="E44" s="62">
        <f>Enteric_19!K43</f>
        <v>0.112</v>
      </c>
      <c r="F44" s="261">
        <f t="shared" si="10"/>
        <v>0.18726715762702828</v>
      </c>
      <c r="G44" s="194">
        <f t="shared" si="11"/>
        <v>68.352512533865323</v>
      </c>
      <c r="H44" s="317">
        <f>Enteric_19!E43</f>
        <v>2.7</v>
      </c>
      <c r="I44" s="189">
        <f>Enteric_19!G43</f>
        <v>3.2000000000000001E-2</v>
      </c>
      <c r="J44" s="196">
        <f t="shared" si="3"/>
        <v>1.3542319749216302E-2</v>
      </c>
      <c r="K44" s="199">
        <f>Enteric_19!C43</f>
        <v>0</v>
      </c>
      <c r="L44" s="199">
        <f>Enteric_19!E167</f>
        <v>0</v>
      </c>
      <c r="M44" s="240"/>
      <c r="N44" s="318">
        <f t="shared" ref="N44:N50" si="27">J44+M44</f>
        <v>1.3542319749216302E-2</v>
      </c>
      <c r="O44" s="208">
        <f t="shared" si="7"/>
        <v>4.9429467084639507</v>
      </c>
      <c r="P44" s="261">
        <f t="shared" si="5"/>
        <v>7.2315508607162945E-2</v>
      </c>
      <c r="Q44" s="208">
        <f t="shared" ref="Q44:Q50" si="28">G44-O44</f>
        <v>63.409565825401373</v>
      </c>
      <c r="R44" s="212">
        <f t="shared" ref="R44:R50" si="29">(Q44*1000/B44)/365</f>
        <v>0.35454048546492245</v>
      </c>
      <c r="S44" s="2"/>
      <c r="T44" s="316"/>
      <c r="U44" s="2"/>
      <c r="V44" s="319"/>
      <c r="W44" s="31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328" customFormat="1" x14ac:dyDescent="0.2">
      <c r="A45" s="271" t="str">
        <f>Enteric_19!A44</f>
        <v xml:space="preserve"> Mature Males</v>
      </c>
      <c r="B45" s="208">
        <f>Enteric_19!B44</f>
        <v>595</v>
      </c>
      <c r="C45" s="47">
        <f>Enteric_19!M44</f>
        <v>0.01</v>
      </c>
      <c r="D45" s="208">
        <f>Enteric_19!Q168</f>
        <v>171.37128356907456</v>
      </c>
      <c r="E45" s="62">
        <f>Enteric_19!K44</f>
        <v>0.112</v>
      </c>
      <c r="F45" s="261">
        <f t="shared" si="10"/>
        <v>0.16644842284866213</v>
      </c>
      <c r="G45" s="194">
        <f t="shared" si="11"/>
        <v>60.753674339761673</v>
      </c>
      <c r="H45" s="317">
        <f>Enteric_19!E37</f>
        <v>0</v>
      </c>
      <c r="I45" s="189">
        <f>Enteric_19!G37</f>
        <v>0</v>
      </c>
      <c r="J45" s="196">
        <f t="shared" si="3"/>
        <v>0</v>
      </c>
      <c r="K45" s="199">
        <f>Enteric_19!C44</f>
        <v>0</v>
      </c>
      <c r="L45" s="199">
        <f>Enteric_19!E168</f>
        <v>0</v>
      </c>
      <c r="M45" s="240"/>
      <c r="N45" s="318">
        <f t="shared" si="27"/>
        <v>0</v>
      </c>
      <c r="O45" s="208">
        <f t="shared" si="7"/>
        <v>0</v>
      </c>
      <c r="P45" s="261">
        <f t="shared" si="5"/>
        <v>0</v>
      </c>
      <c r="Q45" s="208">
        <f t="shared" si="28"/>
        <v>60.753674339761673</v>
      </c>
      <c r="R45" s="212">
        <f t="shared" si="29"/>
        <v>0.27974524848514642</v>
      </c>
      <c r="S45" s="2"/>
      <c r="T45" s="316"/>
      <c r="U45" s="2"/>
      <c r="V45" s="319"/>
      <c r="W45" s="31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s="328" customFormat="1" x14ac:dyDescent="0.2">
      <c r="A46" s="271" t="str">
        <f>Enteric_19!A45</f>
        <v>Growing heifers/steers</v>
      </c>
      <c r="B46" s="208">
        <f>Enteric_19!B45</f>
        <v>240</v>
      </c>
      <c r="C46" s="47">
        <f>Enteric_19!M45</f>
        <v>0.22</v>
      </c>
      <c r="D46" s="208">
        <f>Enteric_19!Q169</f>
        <v>107.84030509815275</v>
      </c>
      <c r="E46" s="62">
        <f>Enteric_19!K45</f>
        <v>0.11799999999999999</v>
      </c>
      <c r="F46" s="261">
        <f t="shared" si="10"/>
        <v>0.11035365638228314</v>
      </c>
      <c r="G46" s="194">
        <f t="shared" si="11"/>
        <v>40.279084579533347</v>
      </c>
      <c r="H46" s="317">
        <f>Enteric_19!E38</f>
        <v>0</v>
      </c>
      <c r="I46" s="189">
        <f>Enteric_19!G38</f>
        <v>0</v>
      </c>
      <c r="J46" s="196">
        <f t="shared" si="3"/>
        <v>0</v>
      </c>
      <c r="K46" s="199">
        <f>Enteric_19!C45</f>
        <v>0.5</v>
      </c>
      <c r="L46" s="199">
        <f>Enteric_19!E169</f>
        <v>6.7177130407980066</v>
      </c>
      <c r="M46" s="240">
        <f t="shared" ref="M46:M50" si="30">(K46*(268-7.03*(L46/K46))/1000)/6.25</f>
        <v>1.3883916371710403E-2</v>
      </c>
      <c r="N46" s="318">
        <f t="shared" si="27"/>
        <v>1.3883916371710403E-2</v>
      </c>
      <c r="O46" s="208">
        <f t="shared" si="7"/>
        <v>5.0676294756742974</v>
      </c>
      <c r="P46" s="261">
        <f t="shared" si="5"/>
        <v>0.12581292570510072</v>
      </c>
      <c r="Q46" s="208">
        <f t="shared" si="28"/>
        <v>35.211455103859052</v>
      </c>
      <c r="R46" s="212">
        <f t="shared" si="29"/>
        <v>0.40195725004405308</v>
      </c>
      <c r="S46" s="2"/>
      <c r="T46" s="316"/>
      <c r="U46" s="2"/>
      <c r="V46" s="319"/>
      <c r="W46" s="31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s="328" customFormat="1" x14ac:dyDescent="0.2">
      <c r="A47" s="271" t="str">
        <f>Enteric_19!A46</f>
        <v>Replacement/growing</v>
      </c>
      <c r="B47" s="208">
        <f>Enteric_19!B46</f>
        <v>350</v>
      </c>
      <c r="C47" s="47">
        <f>Enteric_19!M46</f>
        <v>0.16</v>
      </c>
      <c r="D47" s="208">
        <f>Enteric_19!Q170</f>
        <v>151.48983503906868</v>
      </c>
      <c r="E47" s="62">
        <f>Enteric_19!K46</f>
        <v>0.11</v>
      </c>
      <c r="F47" s="261">
        <f t="shared" si="10"/>
        <v>0.14451062854675387</v>
      </c>
      <c r="G47" s="194">
        <f t="shared" si="11"/>
        <v>52.746379419565159</v>
      </c>
      <c r="H47" s="317">
        <f>Enteric_19!E39</f>
        <v>0</v>
      </c>
      <c r="I47" s="189">
        <f>Enteric_19!G39</f>
        <v>0</v>
      </c>
      <c r="J47" s="196">
        <f t="shared" si="3"/>
        <v>0</v>
      </c>
      <c r="K47" s="199">
        <f>Enteric_19!C46</f>
        <v>0.5</v>
      </c>
      <c r="L47" s="199">
        <f>Enteric_19!E170</f>
        <v>8.9148502055784196</v>
      </c>
      <c r="M47" s="240">
        <f t="shared" si="30"/>
        <v>1.1412576488765393E-2</v>
      </c>
      <c r="N47" s="318">
        <f t="shared" si="27"/>
        <v>1.1412576488765393E-2</v>
      </c>
      <c r="O47" s="208">
        <f t="shared" si="7"/>
        <v>4.1655904183993684</v>
      </c>
      <c r="P47" s="261">
        <f t="shared" si="5"/>
        <v>7.8973959241157521E-2</v>
      </c>
      <c r="Q47" s="208">
        <f t="shared" si="28"/>
        <v>48.58078900116579</v>
      </c>
      <c r="R47" s="212">
        <f t="shared" si="29"/>
        <v>0.38028014873710986</v>
      </c>
      <c r="S47" s="2"/>
      <c r="T47" s="316"/>
      <c r="U47" s="2"/>
      <c r="V47" s="319"/>
      <c r="W47" s="31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s="328" customFormat="1" x14ac:dyDescent="0.2">
      <c r="A48" s="271" t="str">
        <f>Enteric_19!A47</f>
        <v>Calves on milk</v>
      </c>
      <c r="B48" s="208">
        <f>Enteric_19!B47</f>
        <v>82</v>
      </c>
      <c r="C48" s="47">
        <f>Enteric_19!M47</f>
        <v>0.12</v>
      </c>
      <c r="D48" s="208">
        <f>Enteric_19!Q171</f>
        <v>35.492486378175819</v>
      </c>
      <c r="E48" s="62">
        <f>Enteric_19!K47</f>
        <v>9.5000000000000001E-2</v>
      </c>
      <c r="F48" s="261">
        <f t="shared" si="10"/>
        <v>2.9240422382020188E-2</v>
      </c>
      <c r="G48" s="194">
        <f t="shared" si="11"/>
        <v>10.672754169437368</v>
      </c>
      <c r="H48" s="317">
        <f>Enteric_19!E40</f>
        <v>0</v>
      </c>
      <c r="I48" s="189">
        <f>Enteric_19!G40</f>
        <v>0</v>
      </c>
      <c r="J48" s="196">
        <f t="shared" si="3"/>
        <v>0</v>
      </c>
      <c r="K48" s="199">
        <f>Enteric_19!C47</f>
        <v>0.5</v>
      </c>
      <c r="L48" s="199">
        <f>Enteric_19!E171</f>
        <v>6.2353065769446658</v>
      </c>
      <c r="M48" s="240">
        <f t="shared" si="30"/>
        <v>1.442652716225264E-2</v>
      </c>
      <c r="N48" s="318">
        <f t="shared" si="27"/>
        <v>1.442652716225264E-2</v>
      </c>
      <c r="O48" s="208">
        <f t="shared" si="7"/>
        <v>5.2656824142222138</v>
      </c>
      <c r="P48" s="261">
        <f t="shared" si="5"/>
        <v>0.49337615489177922</v>
      </c>
      <c r="Q48" s="208">
        <f t="shared" si="28"/>
        <v>5.4070717552151546</v>
      </c>
      <c r="R48" s="212">
        <f t="shared" si="29"/>
        <v>0.18065725877765301</v>
      </c>
      <c r="S48" s="2"/>
      <c r="T48" s="316"/>
      <c r="U48" s="2"/>
      <c r="V48" s="319"/>
      <c r="W48" s="31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328" customFormat="1" x14ac:dyDescent="0.2">
      <c r="A49" s="271" t="str">
        <f>Enteric_19!A48</f>
        <v>Calves on forage</v>
      </c>
      <c r="B49" s="208">
        <f>Enteric_19!B48</f>
        <v>200</v>
      </c>
      <c r="C49" s="47">
        <f>Enteric_19!M48</f>
        <v>0.12</v>
      </c>
      <c r="D49" s="208">
        <f>Enteric_19!Q172</f>
        <v>105.48270411959831</v>
      </c>
      <c r="E49" s="62">
        <f>Enteric_19!K48</f>
        <v>0.123</v>
      </c>
      <c r="F49" s="261">
        <f t="shared" si="10"/>
        <v>0.11251488439423819</v>
      </c>
      <c r="G49" s="194">
        <f t="shared" si="11"/>
        <v>41.067932803896937</v>
      </c>
      <c r="H49" s="317"/>
      <c r="I49" s="189"/>
      <c r="J49" s="196">
        <f t="shared" si="3"/>
        <v>0</v>
      </c>
      <c r="K49" s="199">
        <f>Enteric_19!C48</f>
        <v>0.5</v>
      </c>
      <c r="L49" s="199">
        <f>Enteric_19!E172</f>
        <v>7.9981838467782147</v>
      </c>
      <c r="M49" s="240">
        <f t="shared" si="30"/>
        <v>1.2443642809143864E-2</v>
      </c>
      <c r="N49" s="318">
        <f t="shared" si="27"/>
        <v>1.2443642809143864E-2</v>
      </c>
      <c r="O49" s="208">
        <f t="shared" si="7"/>
        <v>4.5419296253375103</v>
      </c>
      <c r="P49" s="261">
        <f t="shared" si="5"/>
        <v>0.11059552588209472</v>
      </c>
      <c r="Q49" s="208">
        <f t="shared" si="28"/>
        <v>36.526003178559428</v>
      </c>
      <c r="R49" s="212">
        <f t="shared" si="29"/>
        <v>0.50035620792547164</v>
      </c>
      <c r="S49" s="2"/>
      <c r="T49" s="316"/>
      <c r="U49" s="2"/>
      <c r="V49" s="319"/>
      <c r="W49" s="31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328" customFormat="1" x14ac:dyDescent="0.2">
      <c r="A50" s="271" t="str">
        <f>Enteric_19!A49</f>
        <v xml:space="preserve">Feedlot cattle </v>
      </c>
      <c r="B50" s="208">
        <f>Enteric_19!B49</f>
        <v>460</v>
      </c>
      <c r="C50" s="47">
        <f>Enteric_19!M49</f>
        <v>0.04</v>
      </c>
      <c r="D50" s="208">
        <f>Enteric_19!Q173</f>
        <v>148.66744685220613</v>
      </c>
      <c r="E50" s="62">
        <f>Enteric_19!K49</f>
        <v>0.14000000000000001</v>
      </c>
      <c r="F50" s="261">
        <f t="shared" si="10"/>
        <v>0.18049597883411478</v>
      </c>
      <c r="G50" s="194">
        <f t="shared" si="11"/>
        <v>65.881032274451897</v>
      </c>
      <c r="H50" s="317">
        <f>Enteric_19!E41</f>
        <v>0</v>
      </c>
      <c r="I50" s="189">
        <f>Enteric_19!G41</f>
        <v>0</v>
      </c>
      <c r="J50" s="196">
        <f t="shared" si="3"/>
        <v>0</v>
      </c>
      <c r="K50" s="199">
        <f>Enteric_19!C49</f>
        <v>0.9</v>
      </c>
      <c r="L50" s="199">
        <f>Enteric_19!E173</f>
        <v>17.639359807365828</v>
      </c>
      <c r="M50" s="240">
        <f t="shared" si="30"/>
        <v>1.8751248088674913E-2</v>
      </c>
      <c r="N50" s="318">
        <f t="shared" si="27"/>
        <v>1.8751248088674913E-2</v>
      </c>
      <c r="O50" s="208">
        <f t="shared" si="7"/>
        <v>6.8442055523663434</v>
      </c>
      <c r="P50" s="261">
        <f t="shared" si="5"/>
        <v>0.10388734535691949</v>
      </c>
      <c r="Q50" s="208">
        <f t="shared" si="28"/>
        <v>59.03682672208555</v>
      </c>
      <c r="R50" s="212">
        <f t="shared" si="29"/>
        <v>0.35161897988139101</v>
      </c>
      <c r="S50" s="2"/>
      <c r="T50" s="316"/>
      <c r="U50" s="2"/>
      <c r="V50" s="319"/>
      <c r="W50" s="319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90" t="str">
        <f>Enteric_19!A50</f>
        <v>Asia</v>
      </c>
      <c r="B51" s="209"/>
      <c r="C51" s="278"/>
      <c r="D51" s="209"/>
      <c r="E51" s="192"/>
      <c r="F51" s="320"/>
      <c r="G51" s="195">
        <f>SUMPRODUCT(C52:C57,G52:G57)</f>
        <v>39.043530995917436</v>
      </c>
      <c r="H51" s="321"/>
      <c r="I51" s="193"/>
      <c r="J51" s="197"/>
      <c r="K51" s="200"/>
      <c r="L51" s="200"/>
      <c r="M51" s="322"/>
      <c r="N51" s="323"/>
      <c r="O51" s="209"/>
      <c r="P51" s="191">
        <f>SUMPRODUCT(P52:P57,C52:C57)</f>
        <v>6.6947115745170954E-2</v>
      </c>
      <c r="Q51" s="209">
        <f>SUMPRODUCT(Q52:Q57,C52:C57)</f>
        <v>36.873672582405412</v>
      </c>
      <c r="R51" s="329">
        <f>SUMPRODUCT(R52:R57,C52:C57)</f>
        <v>0.37762876084531483</v>
      </c>
      <c r="T51" s="316"/>
      <c r="V51" s="319"/>
      <c r="W51" s="319"/>
    </row>
    <row r="52" spans="1:42" x14ac:dyDescent="0.2">
      <c r="A52" s="271" t="str">
        <f>Enteric_19!A51</f>
        <v>Mature Females</v>
      </c>
      <c r="B52" s="208">
        <f>Enteric_19!B51</f>
        <v>375.52646035524629</v>
      </c>
      <c r="C52" s="47">
        <f>Enteric_19!M51</f>
        <v>0.27304999999999996</v>
      </c>
      <c r="D52" s="208">
        <f>Enteric_19!Q175</f>
        <v>141.31771187015897</v>
      </c>
      <c r="E52" s="62">
        <f>Enteric_19!K51</f>
        <v>0.10638161508881158</v>
      </c>
      <c r="F52" s="261">
        <f t="shared" si="10"/>
        <v>0.13037273868316818</v>
      </c>
      <c r="G52" s="194">
        <f t="shared" si="11"/>
        <v>47.586049619356388</v>
      </c>
      <c r="H52" s="317">
        <f>Enteric_19!E51</f>
        <v>1.5276323017762314</v>
      </c>
      <c r="I52" s="189">
        <f>Enteric_19!G51</f>
        <v>3.3000000000000002E-2</v>
      </c>
      <c r="J52" s="196">
        <f t="shared" si="3"/>
        <v>7.9015463884977485E-3</v>
      </c>
      <c r="K52" s="199">
        <f>Enteric_19!C51</f>
        <v>0</v>
      </c>
      <c r="L52" s="199">
        <f>Enteric_19!E175</f>
        <v>0</v>
      </c>
      <c r="M52" s="240"/>
      <c r="N52" s="318">
        <f t="shared" ref="N52:N57" si="31">J52+M52</f>
        <v>7.9015463884977485E-3</v>
      </c>
      <c r="O52" s="208">
        <f t="shared" si="7"/>
        <v>2.8840644318016784</v>
      </c>
      <c r="P52" s="261">
        <f t="shared" si="5"/>
        <v>6.0607351416465109E-2</v>
      </c>
      <c r="Q52" s="208">
        <f t="shared" ref="Q52:Q57" si="32">G52-O52</f>
        <v>44.701985187554712</v>
      </c>
      <c r="R52" s="212">
        <f t="shared" ref="R52:R57" si="33">(Q52*1000/B52)/365</f>
        <v>0.32613199128182141</v>
      </c>
      <c r="T52" s="316"/>
      <c r="V52" s="319"/>
      <c r="W52" s="319"/>
    </row>
    <row r="53" spans="1:42" x14ac:dyDescent="0.2">
      <c r="A53" s="271" t="str">
        <f>Enteric_19!A52</f>
        <v>Mature Females - grazing</v>
      </c>
      <c r="B53" s="208">
        <f>Enteric_19!B52</f>
        <v>305</v>
      </c>
      <c r="C53" s="47">
        <f>Enteric_19!M52</f>
        <v>8.7149999999999991E-2</v>
      </c>
      <c r="D53" s="208">
        <f>Enteric_19!Q176</f>
        <v>136.49628017651528</v>
      </c>
      <c r="E53" s="62">
        <f>Enteric_19!K52</f>
        <v>0.1</v>
      </c>
      <c r="F53" s="261">
        <f t="shared" si="10"/>
        <v>0.11837075787665284</v>
      </c>
      <c r="G53" s="194">
        <f t="shared" si="11"/>
        <v>43.205326624978284</v>
      </c>
      <c r="H53" s="317">
        <f>Enteric_19!E52</f>
        <v>1.4</v>
      </c>
      <c r="I53" s="189">
        <f>Enteric_19!G52</f>
        <v>3.3000000000000002E-2</v>
      </c>
      <c r="J53" s="196">
        <f t="shared" si="3"/>
        <v>7.2413793103448271E-3</v>
      </c>
      <c r="K53" s="199">
        <f>Enteric_19!C52</f>
        <v>0</v>
      </c>
      <c r="L53" s="199">
        <f>Enteric_19!E176</f>
        <v>0</v>
      </c>
      <c r="M53" s="240"/>
      <c r="N53" s="318">
        <f t="shared" si="31"/>
        <v>7.2413793103448271E-3</v>
      </c>
      <c r="O53" s="208">
        <f t="shared" si="7"/>
        <v>2.6431034482758617</v>
      </c>
      <c r="P53" s="261">
        <f t="shared" si="5"/>
        <v>6.1175407171851007E-2</v>
      </c>
      <c r="Q53" s="208">
        <f t="shared" si="32"/>
        <v>40.562223176702425</v>
      </c>
      <c r="R53" s="212">
        <f t="shared" si="33"/>
        <v>0.36435861825019022</v>
      </c>
      <c r="T53" s="316"/>
      <c r="V53" s="319"/>
      <c r="W53" s="319"/>
    </row>
    <row r="54" spans="1:42" x14ac:dyDescent="0.2">
      <c r="A54" s="271" t="str">
        <f>Enteric_19!A53</f>
        <v>Mature Males</v>
      </c>
      <c r="B54" s="208">
        <f>Enteric_19!B53</f>
        <v>501.14362596703666</v>
      </c>
      <c r="C54" s="47">
        <f>Enteric_19!M53</f>
        <v>0.14865</v>
      </c>
      <c r="D54" s="208">
        <f>Enteric_19!Q177</f>
        <v>157.64544009941477</v>
      </c>
      <c r="E54" s="62">
        <f>Enteric_19!K53</f>
        <v>0.10057181298351833</v>
      </c>
      <c r="F54" s="261">
        <f t="shared" si="10"/>
        <v>0.13749322683475584</v>
      </c>
      <c r="G54" s="194">
        <f t="shared" si="11"/>
        <v>50.18502779468588</v>
      </c>
      <c r="H54" s="317">
        <f>Enteric_19!E53</f>
        <v>0</v>
      </c>
      <c r="I54" s="189">
        <f>Enteric_19!G53</f>
        <v>0</v>
      </c>
      <c r="J54" s="196">
        <f t="shared" si="3"/>
        <v>0</v>
      </c>
      <c r="K54" s="199">
        <f>Enteric_19!C53</f>
        <v>0</v>
      </c>
      <c r="L54" s="199">
        <f>Enteric_19!E177</f>
        <v>0</v>
      </c>
      <c r="M54" s="240"/>
      <c r="N54" s="318">
        <f t="shared" si="31"/>
        <v>0</v>
      </c>
      <c r="O54" s="208">
        <f t="shared" si="7"/>
        <v>0</v>
      </c>
      <c r="P54" s="261">
        <f t="shared" si="5"/>
        <v>0</v>
      </c>
      <c r="Q54" s="208">
        <f t="shared" si="32"/>
        <v>50.18502779468588</v>
      </c>
      <c r="R54" s="212">
        <f t="shared" si="33"/>
        <v>0.27435892568610581</v>
      </c>
      <c r="T54" s="316"/>
      <c r="V54" s="319"/>
      <c r="W54" s="319"/>
    </row>
    <row r="55" spans="1:42" x14ac:dyDescent="0.2">
      <c r="A55" s="271" t="str">
        <f>Enteric_19!A54</f>
        <v>Mature Males - grazing</v>
      </c>
      <c r="B55" s="208">
        <f>Enteric_19!B54</f>
        <v>430</v>
      </c>
      <c r="C55" s="47">
        <f>Enteric_19!M54</f>
        <v>6.2249999999999993E-2</v>
      </c>
      <c r="D55" s="208">
        <f>Enteric_19!Q178</f>
        <v>149.18210363216718</v>
      </c>
      <c r="E55" s="62">
        <f>Enteric_19!K54</f>
        <v>0.1</v>
      </c>
      <c r="F55" s="261">
        <f t="shared" si="10"/>
        <v>0.12937201398995529</v>
      </c>
      <c r="G55" s="194">
        <f t="shared" si="11"/>
        <v>47.220785106333679</v>
      </c>
      <c r="H55" s="317">
        <f>Enteric_19!E54</f>
        <v>0</v>
      </c>
      <c r="I55" s="189">
        <f>Enteric_19!G54</f>
        <v>0</v>
      </c>
      <c r="J55" s="196">
        <f t="shared" si="3"/>
        <v>0</v>
      </c>
      <c r="K55" s="199">
        <f>Enteric_19!C54</f>
        <v>0</v>
      </c>
      <c r="L55" s="199">
        <f>Enteric_19!E178</f>
        <v>0</v>
      </c>
      <c r="M55" s="240"/>
      <c r="N55" s="318">
        <f t="shared" si="31"/>
        <v>0</v>
      </c>
      <c r="O55" s="208">
        <f t="shared" si="7"/>
        <v>0</v>
      </c>
      <c r="P55" s="261">
        <f t="shared" si="5"/>
        <v>0</v>
      </c>
      <c r="Q55" s="208">
        <f t="shared" si="32"/>
        <v>47.220785106333679</v>
      </c>
      <c r="R55" s="212">
        <f t="shared" si="33"/>
        <v>0.30086514881384946</v>
      </c>
      <c r="T55" s="316"/>
      <c r="V55" s="319"/>
      <c r="W55" s="319"/>
    </row>
    <row r="56" spans="1:42" x14ac:dyDescent="0.2">
      <c r="A56" s="271" t="str">
        <f>Enteric_19!A55</f>
        <v>Growing/Replacement</v>
      </c>
      <c r="B56" s="208">
        <f>Enteric_19!B55</f>
        <v>207.20797158642461</v>
      </c>
      <c r="C56" s="47">
        <f>Enteric_19!M55</f>
        <v>0.25340000000000001</v>
      </c>
      <c r="D56" s="208">
        <f>Enteric_19!Q179</f>
        <v>96.596792057229848</v>
      </c>
      <c r="E56" s="62">
        <f>Enteric_19!K55</f>
        <v>0.1045284135753749</v>
      </c>
      <c r="F56" s="261">
        <f t="shared" si="10"/>
        <v>8.7563008608889853E-2</v>
      </c>
      <c r="G56" s="194">
        <f t="shared" si="11"/>
        <v>31.960498142244795</v>
      </c>
      <c r="H56" s="317">
        <f>Enteric_19!E55</f>
        <v>0</v>
      </c>
      <c r="I56" s="189">
        <f>Enteric_19!G55</f>
        <v>0</v>
      </c>
      <c r="J56" s="196">
        <f t="shared" si="3"/>
        <v>0</v>
      </c>
      <c r="K56" s="199">
        <f>Enteric_19!C55</f>
        <v>0.27717048145224937</v>
      </c>
      <c r="L56" s="199">
        <f>Enteric_19!E179</f>
        <v>5.251204152454596</v>
      </c>
      <c r="M56" s="240">
        <f t="shared" ref="M56:M57" si="34">(K56*(268-7.03*(L56/K56))/1000)/6.25</f>
        <v>5.9785158139915237E-3</v>
      </c>
      <c r="N56" s="318">
        <f t="shared" si="31"/>
        <v>5.9785158139915237E-3</v>
      </c>
      <c r="O56" s="208">
        <f t="shared" si="7"/>
        <v>2.1821582721069062</v>
      </c>
      <c r="P56" s="261">
        <f t="shared" si="5"/>
        <v>6.8276729054562821E-2</v>
      </c>
      <c r="Q56" s="208">
        <f t="shared" si="32"/>
        <v>29.778339870137888</v>
      </c>
      <c r="R56" s="212">
        <f t="shared" si="33"/>
        <v>0.39373240406858645</v>
      </c>
      <c r="T56" s="316"/>
      <c r="V56" s="319"/>
      <c r="W56" s="319"/>
    </row>
    <row r="57" spans="1:42" x14ac:dyDescent="0.2">
      <c r="A57" s="271" t="str">
        <f>Enteric_19!A56</f>
        <v>Calves on forage</v>
      </c>
      <c r="B57" s="208">
        <f>Enteric_19!B56</f>
        <v>89.529914529914521</v>
      </c>
      <c r="C57" s="47">
        <f>Enteric_19!M56</f>
        <v>0.17549999999999999</v>
      </c>
      <c r="D57" s="208">
        <f>Enteric_19!Q180</f>
        <v>63.546209153456424</v>
      </c>
      <c r="E57" s="62">
        <f>Enteric_19!K56</f>
        <v>0.10726495726495727</v>
      </c>
      <c r="F57" s="261">
        <f t="shared" si="10"/>
        <v>5.9111383494378666E-2</v>
      </c>
      <c r="G57" s="194">
        <f t="shared" si="11"/>
        <v>21.575654975448213</v>
      </c>
      <c r="H57" s="317">
        <f>Enteric_19!E56</f>
        <v>0</v>
      </c>
      <c r="I57" s="189">
        <f>Enteric_19!G56</f>
        <v>0</v>
      </c>
      <c r="J57" s="196">
        <f t="shared" si="3"/>
        <v>0</v>
      </c>
      <c r="K57" s="199">
        <f>Enteric_19!C56</f>
        <v>0.35811965811965807</v>
      </c>
      <c r="L57" s="199">
        <f>Enteric_19!E180</f>
        <v>5.3380799031596933</v>
      </c>
      <c r="M57" s="240">
        <f t="shared" si="34"/>
        <v>9.3518986650969142E-3</v>
      </c>
      <c r="N57" s="318">
        <f t="shared" si="31"/>
        <v>9.3518986650969142E-3</v>
      </c>
      <c r="O57" s="208">
        <f t="shared" si="7"/>
        <v>3.4134430127603737</v>
      </c>
      <c r="P57" s="261">
        <f t="shared" si="5"/>
        <v>0.1582080829826332</v>
      </c>
      <c r="Q57" s="208">
        <f t="shared" si="32"/>
        <v>18.162211962687838</v>
      </c>
      <c r="R57" s="212">
        <f t="shared" si="33"/>
        <v>0.55578613126739518</v>
      </c>
      <c r="T57" s="316"/>
      <c r="V57" s="319"/>
      <c r="W57" s="319"/>
    </row>
    <row r="58" spans="1:42" x14ac:dyDescent="0.2">
      <c r="A58" s="201" t="str">
        <f>Enteric_19!A57</f>
        <v>Asia_low productivity systems</v>
      </c>
      <c r="B58" s="210"/>
      <c r="C58" s="126"/>
      <c r="D58" s="210"/>
      <c r="E58" s="202"/>
      <c r="F58" s="324"/>
      <c r="G58" s="203">
        <f>SUMPRODUCT(C59:C64,G59:G64)</f>
        <v>37.11151900895819</v>
      </c>
      <c r="H58" s="325"/>
      <c r="I58" s="204"/>
      <c r="J58" s="205"/>
      <c r="K58" s="206"/>
      <c r="L58" s="206"/>
      <c r="M58" s="326"/>
      <c r="N58" s="327"/>
      <c r="O58" s="210"/>
      <c r="P58" s="211">
        <f>SUMPRODUCT(P59:P64,C59:C64)</f>
        <v>5.9089351553503325E-2</v>
      </c>
      <c r="Q58" s="210">
        <f>SUMPRODUCT(Q59:Q64,C59:C64)</f>
        <v>35.262487914690013</v>
      </c>
      <c r="R58" s="243">
        <f>SUMPRODUCT(R59:R64,C59:C64)</f>
        <v>0.37672536812305912</v>
      </c>
      <c r="T58" s="316"/>
      <c r="V58" s="319"/>
      <c r="W58" s="319"/>
    </row>
    <row r="59" spans="1:42" x14ac:dyDescent="0.2">
      <c r="A59" s="271" t="str">
        <f>Enteric_19!A58</f>
        <v xml:space="preserve"> Mature Females-Farming</v>
      </c>
      <c r="B59" s="208">
        <f>Enteric_19!B58</f>
        <v>350</v>
      </c>
      <c r="C59" s="47">
        <f>Enteric_19!M58</f>
        <v>0.24499999999999997</v>
      </c>
      <c r="D59" s="208">
        <f>Enteric_19!Q182</f>
        <v>140.39600557419314</v>
      </c>
      <c r="E59" s="62">
        <f>Enteric_19!K58</f>
        <v>0.1</v>
      </c>
      <c r="F59" s="261">
        <f t="shared" si="10"/>
        <v>0.12175263356027589</v>
      </c>
      <c r="G59" s="194">
        <f t="shared" si="11"/>
        <v>44.439711249500704</v>
      </c>
      <c r="H59" s="317">
        <f>Enteric_19!E58</f>
        <v>1.4</v>
      </c>
      <c r="I59" s="189">
        <f>Enteric_19!G58</f>
        <v>3.3000000000000002E-2</v>
      </c>
      <c r="J59" s="196">
        <f t="shared" si="3"/>
        <v>7.2413793103448271E-3</v>
      </c>
      <c r="K59" s="199">
        <f>Enteric_19!C58</f>
        <v>0</v>
      </c>
      <c r="L59" s="199">
        <f>Enteric_19!E182</f>
        <v>0</v>
      </c>
      <c r="M59" s="240"/>
      <c r="N59" s="318">
        <f t="shared" ref="N59:N64" si="35">J59+M59</f>
        <v>7.2413793103448271E-3</v>
      </c>
      <c r="O59" s="208">
        <f t="shared" si="7"/>
        <v>2.6431034482758617</v>
      </c>
      <c r="P59" s="261">
        <f t="shared" si="5"/>
        <v>5.9476161612223757E-2</v>
      </c>
      <c r="Q59" s="208">
        <f t="shared" ref="Q59:Q64" si="36">G59-O59</f>
        <v>41.796607801224845</v>
      </c>
      <c r="R59" s="212">
        <f t="shared" ref="R59:R64" si="37">(Q59*1000/B59)/365</f>
        <v>0.32717501214266026</v>
      </c>
      <c r="T59" s="316"/>
      <c r="V59" s="319"/>
      <c r="W59" s="319"/>
    </row>
    <row r="60" spans="1:42" x14ac:dyDescent="0.2">
      <c r="A60" s="271" t="str">
        <f>Enteric_19!A59</f>
        <v xml:space="preserve"> Mature Females-Grazing</v>
      </c>
      <c r="B60" s="208">
        <f>Enteric_19!B59</f>
        <v>305</v>
      </c>
      <c r="C60" s="47">
        <f>Enteric_19!M59</f>
        <v>0.105</v>
      </c>
      <c r="D60" s="208">
        <f>Enteric_19!Q183</f>
        <v>136.49628017651528</v>
      </c>
      <c r="E60" s="62">
        <f>Enteric_19!K59</f>
        <v>0.1</v>
      </c>
      <c r="F60" s="261">
        <f t="shared" si="10"/>
        <v>0.11837075787665284</v>
      </c>
      <c r="G60" s="194">
        <f t="shared" si="11"/>
        <v>43.205326624978284</v>
      </c>
      <c r="H60" s="317">
        <f>Enteric_19!E59</f>
        <v>1.4</v>
      </c>
      <c r="I60" s="189">
        <f>Enteric_19!G59</f>
        <v>3.3000000000000002E-2</v>
      </c>
      <c r="J60" s="196">
        <f t="shared" si="3"/>
        <v>7.2413793103448271E-3</v>
      </c>
      <c r="K60" s="199">
        <f>Enteric_19!C59</f>
        <v>0</v>
      </c>
      <c r="L60" s="199">
        <f>Enteric_19!E183</f>
        <v>0</v>
      </c>
      <c r="M60" s="240"/>
      <c r="N60" s="318">
        <f t="shared" si="35"/>
        <v>7.2413793103448271E-3</v>
      </c>
      <c r="O60" s="208">
        <f t="shared" si="7"/>
        <v>2.6431034482758617</v>
      </c>
      <c r="P60" s="261">
        <f t="shared" si="5"/>
        <v>6.1175407171851007E-2</v>
      </c>
      <c r="Q60" s="208">
        <f t="shared" si="36"/>
        <v>40.562223176702425</v>
      </c>
      <c r="R60" s="212">
        <f t="shared" si="37"/>
        <v>0.36435861825019022</v>
      </c>
      <c r="T60" s="316"/>
      <c r="V60" s="319"/>
      <c r="W60" s="319"/>
    </row>
    <row r="61" spans="1:42" x14ac:dyDescent="0.2">
      <c r="A61" s="271" t="str">
        <f>Enteric_19!A60</f>
        <v xml:space="preserve"> Mature Males-Farming</v>
      </c>
      <c r="B61" s="208">
        <f>Enteric_19!B60</f>
        <v>500</v>
      </c>
      <c r="C61" s="47">
        <f>Enteric_19!M60</f>
        <v>0.17499999999999999</v>
      </c>
      <c r="D61" s="208">
        <f>Enteric_19!Q184</f>
        <v>137.92219274343708</v>
      </c>
      <c r="E61" s="62">
        <f>Enteric_19!K60</f>
        <v>0.1</v>
      </c>
      <c r="F61" s="261">
        <f t="shared" si="10"/>
        <v>0.11960732162032484</v>
      </c>
      <c r="G61" s="194">
        <f t="shared" si="11"/>
        <v>43.656672391418567</v>
      </c>
      <c r="H61" s="317">
        <f>Enteric_19!E60</f>
        <v>0</v>
      </c>
      <c r="I61" s="189">
        <f>Enteric_19!G60</f>
        <v>0</v>
      </c>
      <c r="J61" s="196">
        <f t="shared" si="3"/>
        <v>0</v>
      </c>
      <c r="K61" s="199">
        <f>Enteric_19!C60</f>
        <v>0</v>
      </c>
      <c r="L61" s="199">
        <f>Enteric_19!E184</f>
        <v>0</v>
      </c>
      <c r="M61" s="240"/>
      <c r="N61" s="318">
        <f t="shared" si="35"/>
        <v>0</v>
      </c>
      <c r="O61" s="208">
        <f t="shared" si="7"/>
        <v>0</v>
      </c>
      <c r="P61" s="261">
        <f t="shared" si="5"/>
        <v>0</v>
      </c>
      <c r="Q61" s="208">
        <f t="shared" si="36"/>
        <v>43.656672391418567</v>
      </c>
      <c r="R61" s="212">
        <f t="shared" si="37"/>
        <v>0.23921464324064967</v>
      </c>
      <c r="T61" s="316"/>
      <c r="V61" s="319"/>
      <c r="W61" s="319"/>
    </row>
    <row r="62" spans="1:42" x14ac:dyDescent="0.2">
      <c r="A62" s="271" t="str">
        <f>Enteric_19!A61</f>
        <v xml:space="preserve"> Mature Males-Grazing</v>
      </c>
      <c r="B62" s="208">
        <f>Enteric_19!B61</f>
        <v>430</v>
      </c>
      <c r="C62" s="47">
        <f>Enteric_19!M61</f>
        <v>7.4999999999999997E-2</v>
      </c>
      <c r="D62" s="208">
        <f>Enteric_19!Q185</f>
        <v>149.18210363216718</v>
      </c>
      <c r="E62" s="62">
        <f>Enteric_19!K61</f>
        <v>0.1</v>
      </c>
      <c r="F62" s="261">
        <f t="shared" si="10"/>
        <v>0.12937201398995529</v>
      </c>
      <c r="G62" s="194">
        <f t="shared" si="11"/>
        <v>47.220785106333679</v>
      </c>
      <c r="H62" s="317">
        <f>Enteric_19!E61</f>
        <v>0</v>
      </c>
      <c r="I62" s="189">
        <f>Enteric_19!G61</f>
        <v>0</v>
      </c>
      <c r="J62" s="196">
        <f t="shared" si="3"/>
        <v>0</v>
      </c>
      <c r="K62" s="199">
        <f>Enteric_19!C61</f>
        <v>0</v>
      </c>
      <c r="L62" s="199">
        <f>Enteric_19!E185</f>
        <v>0</v>
      </c>
      <c r="M62" s="240"/>
      <c r="N62" s="318">
        <f t="shared" si="35"/>
        <v>0</v>
      </c>
      <c r="O62" s="208">
        <f t="shared" si="7"/>
        <v>0</v>
      </c>
      <c r="P62" s="261">
        <f t="shared" si="5"/>
        <v>0</v>
      </c>
      <c r="Q62" s="208">
        <f t="shared" si="36"/>
        <v>47.220785106333679</v>
      </c>
      <c r="R62" s="212">
        <f t="shared" si="37"/>
        <v>0.30086514881384946</v>
      </c>
      <c r="T62" s="316"/>
      <c r="V62" s="319"/>
      <c r="W62" s="319"/>
    </row>
    <row r="63" spans="1:42" x14ac:dyDescent="0.2">
      <c r="A63" s="271" t="str">
        <f>Enteric_19!A62</f>
        <v>Growing/Replacement</v>
      </c>
      <c r="B63" s="208">
        <f>Enteric_19!B62</f>
        <v>190</v>
      </c>
      <c r="C63" s="47">
        <f>Enteric_19!M62</f>
        <v>0.25</v>
      </c>
      <c r="D63" s="208">
        <f>Enteric_19!Q186</f>
        <v>95.595794529082326</v>
      </c>
      <c r="E63" s="62">
        <f>Enteric_19!K62</f>
        <v>0.1</v>
      </c>
      <c r="F63" s="261">
        <f t="shared" si="10"/>
        <v>8.2901502030640506E-2</v>
      </c>
      <c r="G63" s="194">
        <f t="shared" si="11"/>
        <v>30.259048241183784</v>
      </c>
      <c r="H63" s="317">
        <f>Enteric_19!E62</f>
        <v>0</v>
      </c>
      <c r="I63" s="189">
        <f>Enteric_19!G62</f>
        <v>0</v>
      </c>
      <c r="J63" s="196">
        <f t="shared" si="3"/>
        <v>0</v>
      </c>
      <c r="K63" s="199">
        <f>Enteric_19!C62</f>
        <v>0.25</v>
      </c>
      <c r="L63" s="199">
        <f>Enteric_19!E186</f>
        <v>4.6307379801383064</v>
      </c>
      <c r="M63" s="240">
        <f t="shared" ref="M63:M64" si="38">(K63*(268-7.03*(L63/K63))/1000)/6.25</f>
        <v>5.5113459199404328E-3</v>
      </c>
      <c r="N63" s="318">
        <f t="shared" si="35"/>
        <v>5.5113459199404328E-3</v>
      </c>
      <c r="O63" s="208">
        <f t="shared" si="7"/>
        <v>2.0116412607782581</v>
      </c>
      <c r="P63" s="261">
        <f t="shared" si="5"/>
        <v>6.6480652158792397E-2</v>
      </c>
      <c r="Q63" s="208">
        <f t="shared" si="36"/>
        <v>28.247406980405525</v>
      </c>
      <c r="R63" s="212">
        <f t="shared" si="37"/>
        <v>0.40731661110894773</v>
      </c>
      <c r="T63" s="316"/>
      <c r="V63" s="319"/>
      <c r="W63" s="319"/>
    </row>
    <row r="64" spans="1:42" x14ac:dyDescent="0.2">
      <c r="A64" s="271" t="str">
        <f>Enteric_19!A63</f>
        <v>Calves on forage</v>
      </c>
      <c r="B64" s="208">
        <f>Enteric_19!B63</f>
        <v>75</v>
      </c>
      <c r="C64" s="47">
        <f>Enteric_19!M63</f>
        <v>0.15</v>
      </c>
      <c r="D64" s="208">
        <f>Enteric_19!Q187</f>
        <v>61.942122772079657</v>
      </c>
      <c r="E64" s="62">
        <f>Enteric_19!K63</f>
        <v>0.1</v>
      </c>
      <c r="F64" s="261">
        <f t="shared" si="10"/>
        <v>5.3716746035407839E-2</v>
      </c>
      <c r="G64" s="194">
        <f t="shared" si="11"/>
        <v>19.60661230292386</v>
      </c>
      <c r="H64" s="317">
        <f>Enteric_19!E63</f>
        <v>0</v>
      </c>
      <c r="I64" s="189">
        <f>Enteric_19!G63</f>
        <v>0</v>
      </c>
      <c r="J64" s="196">
        <f t="shared" si="3"/>
        <v>0</v>
      </c>
      <c r="K64" s="199">
        <f>Enteric_19!C63</f>
        <v>0.3</v>
      </c>
      <c r="L64" s="199">
        <f>Enteric_19!E187</f>
        <v>4.5998140361097022</v>
      </c>
      <c r="M64" s="240">
        <f t="shared" si="38"/>
        <v>7.6901291721838058E-3</v>
      </c>
      <c r="N64" s="318">
        <f t="shared" si="35"/>
        <v>7.6901291721838058E-3</v>
      </c>
      <c r="O64" s="208">
        <f t="shared" si="7"/>
        <v>2.806897147847089</v>
      </c>
      <c r="P64" s="261">
        <f t="shared" si="5"/>
        <v>0.14316074110510701</v>
      </c>
      <c r="Q64" s="208">
        <f t="shared" si="36"/>
        <v>16.799715155076772</v>
      </c>
      <c r="R64" s="212">
        <f t="shared" si="37"/>
        <v>0.61368822484298702</v>
      </c>
      <c r="T64" s="316"/>
      <c r="V64" s="319"/>
      <c r="W64" s="319"/>
    </row>
    <row r="65" spans="1:42" x14ac:dyDescent="0.2">
      <c r="A65" s="201" t="str">
        <f>Enteric_19!A64</f>
        <v>Asia_high productivity systems</v>
      </c>
      <c r="B65" s="210"/>
      <c r="C65" s="126"/>
      <c r="D65" s="210"/>
      <c r="E65" s="202"/>
      <c r="F65" s="324"/>
      <c r="G65" s="203">
        <f>SUMPRODUCT(C66:C69,G66:G69)</f>
        <v>40.994296212912644</v>
      </c>
      <c r="H65" s="325"/>
      <c r="I65" s="204"/>
      <c r="J65" s="205"/>
      <c r="K65" s="206"/>
      <c r="L65" s="206"/>
      <c r="M65" s="326"/>
      <c r="N65" s="327"/>
      <c r="O65" s="210"/>
      <c r="P65" s="211">
        <f>SUMPRODUCT(P66:P69,C66:C69)</f>
        <v>0.10312678734212019</v>
      </c>
      <c r="Q65" s="210">
        <f>SUMPRODUCT(Q66:Q69,C66:C69)</f>
        <v>37.282074063699106</v>
      </c>
      <c r="R65" s="243">
        <f>SUMPRODUCT(R66:R69,C66:C69)</f>
        <v>0.36308791997293</v>
      </c>
      <c r="T65" s="316"/>
      <c r="V65" s="319"/>
      <c r="W65" s="319"/>
    </row>
    <row r="66" spans="1:42" x14ac:dyDescent="0.2">
      <c r="A66" s="271" t="str">
        <f>Enteric_19!A65</f>
        <v xml:space="preserve"> Mature Females</v>
      </c>
      <c r="B66" s="208">
        <f>Enteric_19!B65</f>
        <v>450</v>
      </c>
      <c r="C66" s="47">
        <f>Enteric_19!M65</f>
        <v>0.41</v>
      </c>
      <c r="D66" s="208">
        <f>Enteric_19!Q189</f>
        <v>132.35376035436951</v>
      </c>
      <c r="E66" s="62">
        <f>Enteric_19!K65</f>
        <v>0.125</v>
      </c>
      <c r="F66" s="261">
        <f t="shared" si="10"/>
        <v>0.1434729109532461</v>
      </c>
      <c r="G66" s="194">
        <f t="shared" si="11"/>
        <v>52.367612497934829</v>
      </c>
      <c r="H66" s="317">
        <f>Enteric_19!E65</f>
        <v>1.9</v>
      </c>
      <c r="I66" s="189">
        <f>Enteric_19!G65</f>
        <v>3.3000000000000002E-2</v>
      </c>
      <c r="J66" s="196">
        <f t="shared" si="3"/>
        <v>9.827586206896553E-3</v>
      </c>
      <c r="K66" s="199">
        <f>Enteric_19!C65</f>
        <v>0</v>
      </c>
      <c r="L66" s="199">
        <f>Enteric_19!E189</f>
        <v>0</v>
      </c>
      <c r="M66" s="240"/>
      <c r="N66" s="318">
        <f t="shared" ref="N66:N69" si="39">J66+M66</f>
        <v>9.827586206896553E-3</v>
      </c>
      <c r="O66" s="208">
        <f t="shared" si="7"/>
        <v>3.5870689655172416</v>
      </c>
      <c r="P66" s="261">
        <f t="shared" si="5"/>
        <v>6.8497851905291687E-2</v>
      </c>
      <c r="Q66" s="208">
        <f>G66-O66</f>
        <v>48.780543532417589</v>
      </c>
      <c r="R66" s="212">
        <f>(Q66*1000/B66)/365</f>
        <v>0.29698961054744349</v>
      </c>
      <c r="T66" s="316"/>
      <c r="V66" s="319"/>
      <c r="W66" s="319"/>
    </row>
    <row r="67" spans="1:42" x14ac:dyDescent="0.2">
      <c r="A67" s="271" t="str">
        <f>Enteric_19!A66</f>
        <v>Mature Males</v>
      </c>
      <c r="B67" s="208">
        <f>Enteric_19!B66</f>
        <v>550</v>
      </c>
      <c r="C67" s="47">
        <f>Enteric_19!M66</f>
        <v>0.02</v>
      </c>
      <c r="D67" s="208">
        <f>Enteric_19!Q190</f>
        <v>118.09459061109264</v>
      </c>
      <c r="E67" s="62">
        <f>Enteric_19!K66</f>
        <v>0.125</v>
      </c>
      <c r="F67" s="261">
        <f t="shared" si="10"/>
        <v>0.12801581638058823</v>
      </c>
      <c r="G67" s="194">
        <f t="shared" si="11"/>
        <v>46.725772978914705</v>
      </c>
      <c r="H67" s="317">
        <f>Enteric_19!E66</f>
        <v>0</v>
      </c>
      <c r="I67" s="189">
        <f>Enteric_19!G66</f>
        <v>0</v>
      </c>
      <c r="J67" s="196">
        <f t="shared" si="3"/>
        <v>0</v>
      </c>
      <c r="K67" s="199">
        <f>Enteric_19!C66</f>
        <v>0</v>
      </c>
      <c r="L67" s="199">
        <f>Enteric_19!E190</f>
        <v>0</v>
      </c>
      <c r="M67" s="240"/>
      <c r="N67" s="318">
        <f t="shared" si="39"/>
        <v>0</v>
      </c>
      <c r="O67" s="208">
        <f t="shared" si="7"/>
        <v>0</v>
      </c>
      <c r="P67" s="261">
        <f t="shared" si="5"/>
        <v>0</v>
      </c>
      <c r="Q67" s="208">
        <f>G67-O67</f>
        <v>46.725772978914705</v>
      </c>
      <c r="R67" s="212">
        <f>(Q67*1000/B67)/365</f>
        <v>0.2327560297828877</v>
      </c>
      <c r="T67" s="316"/>
      <c r="V67" s="319"/>
      <c r="W67" s="319"/>
    </row>
    <row r="68" spans="1:42" s="328" customFormat="1" x14ac:dyDescent="0.2">
      <c r="A68" s="271" t="str">
        <f>Enteric_19!A67</f>
        <v>Growing/Replacement</v>
      </c>
      <c r="B68" s="208">
        <f>Enteric_19!B67</f>
        <v>285</v>
      </c>
      <c r="C68" s="47">
        <f>Enteric_19!M67</f>
        <v>0.27</v>
      </c>
      <c r="D68" s="208">
        <f>Enteric_19!Q191</f>
        <v>99.881756266237844</v>
      </c>
      <c r="E68" s="62">
        <f>Enteric_19!K67</f>
        <v>0.125</v>
      </c>
      <c r="F68" s="261">
        <f t="shared" si="10"/>
        <v>0.10827290652166704</v>
      </c>
      <c r="G68" s="194">
        <f t="shared" si="11"/>
        <v>39.519610880408472</v>
      </c>
      <c r="H68" s="317">
        <f>Enteric_19!E67</f>
        <v>0</v>
      </c>
      <c r="I68" s="189">
        <f>Enteric_19!G67</f>
        <v>0</v>
      </c>
      <c r="J68" s="196">
        <f t="shared" si="3"/>
        <v>0</v>
      </c>
      <c r="K68" s="199">
        <f>Enteric_19!C67</f>
        <v>0.4</v>
      </c>
      <c r="L68" s="199">
        <f>Enteric_19!E191</f>
        <v>8.1666180945040576</v>
      </c>
      <c r="M68" s="240">
        <f t="shared" ref="M68:M69" si="40">(K68*(268-7.03*(L68/K68))/1000)/6.25</f>
        <v>7.9661879673018372E-3</v>
      </c>
      <c r="N68" s="318">
        <f t="shared" si="39"/>
        <v>7.9661879673018372E-3</v>
      </c>
      <c r="O68" s="208">
        <f t="shared" si="7"/>
        <v>2.9076586080651707</v>
      </c>
      <c r="P68" s="261">
        <f t="shared" si="5"/>
        <v>7.3575081922342994E-2</v>
      </c>
      <c r="Q68" s="208">
        <f>G68-O68</f>
        <v>36.611952272343302</v>
      </c>
      <c r="R68" s="212">
        <f>(Q68*1000/B68)/365</f>
        <v>0.35195339843636919</v>
      </c>
      <c r="S68" s="2"/>
      <c r="T68" s="316"/>
      <c r="U68" s="2"/>
      <c r="V68" s="319"/>
      <c r="W68" s="319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s="328" customFormat="1" x14ac:dyDescent="0.2">
      <c r="A69" s="271" t="str">
        <f>Enteric_19!A68</f>
        <v>Calves on forage</v>
      </c>
      <c r="B69" s="208">
        <f>Enteric_19!B68</f>
        <v>125</v>
      </c>
      <c r="C69" s="47">
        <f>Enteric_19!M68</f>
        <v>0.3</v>
      </c>
      <c r="D69" s="208">
        <f>Enteric_19!Q192</f>
        <v>66.71288061992513</v>
      </c>
      <c r="E69" s="62">
        <f>Enteric_19!K68</f>
        <v>0.125</v>
      </c>
      <c r="F69" s="261">
        <f t="shared" si="10"/>
        <v>7.231748576685651E-2</v>
      </c>
      <c r="G69" s="194">
        <f t="shared" si="11"/>
        <v>26.395882304902624</v>
      </c>
      <c r="H69" s="317">
        <f>Enteric_19!E68</f>
        <v>0</v>
      </c>
      <c r="I69" s="189">
        <f>Enteric_19!G68</f>
        <v>0</v>
      </c>
      <c r="J69" s="196">
        <f t="shared" si="3"/>
        <v>0</v>
      </c>
      <c r="K69" s="199">
        <f>Enteric_19!C68</f>
        <v>0.5</v>
      </c>
      <c r="L69" s="199">
        <f>Enteric_19!E192</f>
        <v>7.235981076096901</v>
      </c>
      <c r="M69" s="240">
        <f t="shared" si="40"/>
        <v>1.3300968485606204E-2</v>
      </c>
      <c r="N69" s="318">
        <f t="shared" si="39"/>
        <v>1.3300968485606204E-2</v>
      </c>
      <c r="O69" s="208">
        <f t="shared" si="7"/>
        <v>4.8548534972462649</v>
      </c>
      <c r="P69" s="261">
        <f t="shared" si="5"/>
        <v>0.18392465313972667</v>
      </c>
      <c r="Q69" s="208">
        <f>G69-O69</f>
        <v>21.54102880765636</v>
      </c>
      <c r="R69" s="212">
        <f>(Q69*1000/B69)/365</f>
        <v>0.47213213825000244</v>
      </c>
      <c r="S69" s="2"/>
      <c r="T69" s="316"/>
      <c r="U69" s="2"/>
      <c r="V69" s="319"/>
      <c r="W69" s="319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s="328" customFormat="1" x14ac:dyDescent="0.2">
      <c r="A70" s="190" t="str">
        <f>Enteric_19!A69</f>
        <v>Africa</v>
      </c>
      <c r="B70" s="209"/>
      <c r="C70" s="278"/>
      <c r="D70" s="209"/>
      <c r="E70" s="192"/>
      <c r="F70" s="320"/>
      <c r="G70" s="195">
        <f>SUMPRODUCT(C71:C77,G71:G77)</f>
        <v>37.84931760619078</v>
      </c>
      <c r="H70" s="321"/>
      <c r="I70" s="193"/>
      <c r="J70" s="197"/>
      <c r="K70" s="200"/>
      <c r="L70" s="200"/>
      <c r="M70" s="322"/>
      <c r="N70" s="323"/>
      <c r="O70" s="209"/>
      <c r="P70" s="191">
        <f>SUMPRODUCT(P71:P77,C71:C77)</f>
        <v>6.9229766321226752E-2</v>
      </c>
      <c r="Q70" s="209">
        <f>SUMPRODUCT(Q71:Q77,C71:C77)</f>
        <v>35.422599285810463</v>
      </c>
      <c r="R70" s="191">
        <f>SUMPRODUCT(R71:R77,C71:C77)</f>
        <v>0.44547997640181786</v>
      </c>
      <c r="S70" s="2"/>
      <c r="T70" s="316"/>
      <c r="U70" s="2"/>
      <c r="V70" s="319"/>
      <c r="W70" s="319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s="328" customFormat="1" x14ac:dyDescent="0.2">
      <c r="A71" s="271" t="str">
        <f>Enteric_19!A70</f>
        <v xml:space="preserve"> Mature Females</v>
      </c>
      <c r="B71" s="208">
        <f>Enteric_19!B70</f>
        <v>356.0542168674699</v>
      </c>
      <c r="C71" s="47">
        <f>Enteric_19!M70</f>
        <v>0.16599999999999998</v>
      </c>
      <c r="D71" s="208">
        <f>Enteric_19!Q194</f>
        <v>161.36860234674808</v>
      </c>
      <c r="E71" s="62">
        <f>Enteric_19!K70</f>
        <v>0.11268674698795181</v>
      </c>
      <c r="F71" s="261">
        <f>D71/18.45*(E71/6.25)</f>
        <v>0.15769411698165772</v>
      </c>
      <c r="G71" s="194">
        <f t="shared" si="11"/>
        <v>57.558352698305072</v>
      </c>
      <c r="H71" s="317">
        <f>Enteric_19!E70</f>
        <v>2.3981927710843371</v>
      </c>
      <c r="I71" s="189">
        <f>Enteric_19!G70</f>
        <v>3.5295180722891568E-2</v>
      </c>
      <c r="J71" s="196">
        <f t="shared" si="3"/>
        <v>1.3267186091497463E-2</v>
      </c>
      <c r="K71" s="199">
        <f>Enteric_19!C70</f>
        <v>0</v>
      </c>
      <c r="L71" s="199">
        <f>Enteric_19!E194</f>
        <v>0</v>
      </c>
      <c r="M71" s="240"/>
      <c r="N71" s="318">
        <f t="shared" ref="N71:N77" si="41">J71+M71</f>
        <v>1.3267186091497463E-2</v>
      </c>
      <c r="O71" s="208">
        <f t="shared" si="7"/>
        <v>4.8425229233965741</v>
      </c>
      <c r="P71" s="261">
        <f t="shared" si="5"/>
        <v>8.4132409917616918E-2</v>
      </c>
      <c r="Q71" s="208">
        <f t="shared" ref="Q71:Q77" si="42">G71-O71</f>
        <v>52.715829774908499</v>
      </c>
      <c r="R71" s="212">
        <f t="shared" ref="R71:R77" si="43">(Q71*1000/B71)/365</f>
        <v>0.40563185056706885</v>
      </c>
      <c r="S71" s="2"/>
      <c r="T71" s="316"/>
      <c r="U71" s="2"/>
      <c r="V71" s="319"/>
      <c r="W71" s="319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s="328" customFormat="1" x14ac:dyDescent="0.2">
      <c r="A72" s="271" t="str">
        <f>Enteric_19!A71</f>
        <v xml:space="preserve"> Mature Females-Grazing</v>
      </c>
      <c r="B72" s="208">
        <f>Enteric_19!B71</f>
        <v>275</v>
      </c>
      <c r="C72" s="47">
        <f>Enteric_19!M71</f>
        <v>0.105</v>
      </c>
      <c r="D72" s="208">
        <f>Enteric_19!Q195</f>
        <v>144.11396212077881</v>
      </c>
      <c r="E72" s="62">
        <f>Enteric_19!K71</f>
        <v>0.1</v>
      </c>
      <c r="F72" s="261">
        <f t="shared" si="10"/>
        <v>0.12497687771991658</v>
      </c>
      <c r="G72" s="194">
        <f t="shared" si="11"/>
        <v>45.616560367769551</v>
      </c>
      <c r="H72" s="317">
        <f>Enteric_19!E71</f>
        <v>1.2</v>
      </c>
      <c r="I72" s="189">
        <f>Enteric_19!G71</f>
        <v>3.5999999999999997E-2</v>
      </c>
      <c r="J72" s="196">
        <f t="shared" si="3"/>
        <v>6.7711598746081495E-3</v>
      </c>
      <c r="K72" s="199">
        <f>Enteric_19!C71</f>
        <v>0</v>
      </c>
      <c r="L72" s="199">
        <f>Enteric_19!E195</f>
        <v>0</v>
      </c>
      <c r="M72" s="240"/>
      <c r="N72" s="318">
        <f t="shared" si="41"/>
        <v>6.7711598746081495E-3</v>
      </c>
      <c r="O72" s="208">
        <f t="shared" si="7"/>
        <v>2.4714733542319745</v>
      </c>
      <c r="P72" s="261">
        <f t="shared" ref="P72:P77" si="44">N72/F72</f>
        <v>5.417930098864266E-2</v>
      </c>
      <c r="Q72" s="208">
        <f t="shared" si="42"/>
        <v>43.145087013537577</v>
      </c>
      <c r="R72" s="212">
        <f t="shared" si="43"/>
        <v>0.42983897398293974</v>
      </c>
      <c r="S72" s="2"/>
      <c r="T72" s="316"/>
      <c r="U72" s="2"/>
      <c r="V72" s="319"/>
      <c r="W72" s="319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">
      <c r="A73" s="271" t="str">
        <f>Enteric_19!A72</f>
        <v>Mature Males</v>
      </c>
      <c r="B73" s="208">
        <f>Enteric_19!B72</f>
        <v>540</v>
      </c>
      <c r="C73" s="47">
        <f>Enteric_19!M72</f>
        <v>1.7999999999999999E-2</v>
      </c>
      <c r="D73" s="208">
        <f>Enteric_19!Q196</f>
        <v>172.17332032614846</v>
      </c>
      <c r="E73" s="62">
        <f>Enteric_19!K72</f>
        <v>0.112</v>
      </c>
      <c r="F73" s="261">
        <f t="shared" si="10"/>
        <v>0.16722742006745697</v>
      </c>
      <c r="G73" s="194">
        <f t="shared" si="11"/>
        <v>61.038008324621792</v>
      </c>
      <c r="H73" s="317">
        <f>Enteric_19!E72</f>
        <v>0</v>
      </c>
      <c r="I73" s="189">
        <f>Enteric_19!G72</f>
        <v>0</v>
      </c>
      <c r="J73" s="196">
        <f t="shared" si="3"/>
        <v>0</v>
      </c>
      <c r="K73" s="199">
        <f>Enteric_19!C72</f>
        <v>0</v>
      </c>
      <c r="L73" s="199">
        <f>Enteric_19!E196</f>
        <v>0</v>
      </c>
      <c r="M73" s="240"/>
      <c r="N73" s="318">
        <f t="shared" si="41"/>
        <v>0</v>
      </c>
      <c r="O73" s="208">
        <f t="shared" si="7"/>
        <v>0</v>
      </c>
      <c r="P73" s="261">
        <f t="shared" si="44"/>
        <v>0</v>
      </c>
      <c r="Q73" s="208">
        <f t="shared" si="42"/>
        <v>61.038008324621792</v>
      </c>
      <c r="R73" s="212">
        <f t="shared" si="43"/>
        <v>0.30968040753232773</v>
      </c>
      <c r="T73" s="316"/>
      <c r="V73" s="319"/>
      <c r="W73" s="319"/>
    </row>
    <row r="74" spans="1:42" x14ac:dyDescent="0.2">
      <c r="A74" s="271" t="str">
        <f>Enteric_19!A73</f>
        <v xml:space="preserve"> Draft Bullocks</v>
      </c>
      <c r="B74" s="208">
        <f>Enteric_19!B73</f>
        <v>340</v>
      </c>
      <c r="C74" s="47">
        <f>Enteric_19!M73</f>
        <v>3.4999999999999996E-2</v>
      </c>
      <c r="D74" s="208">
        <f>Enteric_19!Q197</f>
        <v>115.45608841816582</v>
      </c>
      <c r="E74" s="62">
        <f>Enteric_19!K73</f>
        <v>0.1</v>
      </c>
      <c r="F74" s="261">
        <f t="shared" si="10"/>
        <v>0.10012452112144461</v>
      </c>
      <c r="G74" s="194">
        <f t="shared" si="11"/>
        <v>36.545450209327285</v>
      </c>
      <c r="H74" s="317">
        <f>Enteric_19!E73</f>
        <v>0</v>
      </c>
      <c r="I74" s="189">
        <f>Enteric_19!G73</f>
        <v>0</v>
      </c>
      <c r="J74" s="196">
        <f t="shared" si="3"/>
        <v>0</v>
      </c>
      <c r="K74" s="199">
        <f>Enteric_19!C73</f>
        <v>0</v>
      </c>
      <c r="L74" s="199">
        <f>Enteric_19!E197</f>
        <v>0</v>
      </c>
      <c r="M74" s="240"/>
      <c r="N74" s="318">
        <f t="shared" si="41"/>
        <v>0</v>
      </c>
      <c r="O74" s="208">
        <f t="shared" si="7"/>
        <v>0</v>
      </c>
      <c r="P74" s="261">
        <f t="shared" si="44"/>
        <v>0</v>
      </c>
      <c r="Q74" s="208">
        <f t="shared" si="42"/>
        <v>36.545450209327285</v>
      </c>
      <c r="R74" s="212">
        <f t="shared" si="43"/>
        <v>0.29448388565130768</v>
      </c>
      <c r="T74" s="316"/>
      <c r="V74" s="319"/>
      <c r="W74" s="319"/>
    </row>
    <row r="75" spans="1:42" x14ac:dyDescent="0.2">
      <c r="A75" s="271" t="str">
        <f>Enteric_19!A74</f>
        <v xml:space="preserve"> Bulls - Grazing</v>
      </c>
      <c r="B75" s="208">
        <f>Enteric_19!B74</f>
        <v>340</v>
      </c>
      <c r="C75" s="47">
        <f>Enteric_19!M74</f>
        <v>7.6999999999999999E-2</v>
      </c>
      <c r="D75" s="208">
        <f>Enteric_19!Q198</f>
        <v>141.45971193577074</v>
      </c>
      <c r="E75" s="62">
        <f>Enteric_19!K74</f>
        <v>0.1</v>
      </c>
      <c r="F75" s="261">
        <f t="shared" si="10"/>
        <v>0.12267508894158981</v>
      </c>
      <c r="G75" s="194">
        <f t="shared" si="11"/>
        <v>44.776407463680279</v>
      </c>
      <c r="H75" s="317">
        <f>Enteric_19!E74</f>
        <v>0</v>
      </c>
      <c r="I75" s="189">
        <f>Enteric_19!G74</f>
        <v>0</v>
      </c>
      <c r="J75" s="196">
        <f t="shared" si="3"/>
        <v>0</v>
      </c>
      <c r="K75" s="199">
        <f>Enteric_19!C74</f>
        <v>0</v>
      </c>
      <c r="L75" s="199">
        <f>Enteric_19!E198</f>
        <v>0</v>
      </c>
      <c r="M75" s="240"/>
      <c r="N75" s="318">
        <f t="shared" si="41"/>
        <v>0</v>
      </c>
      <c r="O75" s="208">
        <f t="shared" si="7"/>
        <v>0</v>
      </c>
      <c r="P75" s="261">
        <f t="shared" si="44"/>
        <v>0</v>
      </c>
      <c r="Q75" s="208">
        <f t="shared" si="42"/>
        <v>44.776407463680279</v>
      </c>
      <c r="R75" s="212">
        <f t="shared" si="43"/>
        <v>0.36080908512232296</v>
      </c>
      <c r="T75" s="316"/>
      <c r="V75" s="319"/>
      <c r="W75" s="319"/>
    </row>
    <row r="76" spans="1:42" x14ac:dyDescent="0.2">
      <c r="A76" s="271" t="str">
        <f>Enteric_19!A75</f>
        <v>Growing/Replacement</v>
      </c>
      <c r="B76" s="208">
        <f>Enteric_19!B75</f>
        <v>204.17266187050359</v>
      </c>
      <c r="C76" s="47">
        <f>Enteric_19!M75</f>
        <v>0.41699999999999998</v>
      </c>
      <c r="D76" s="208">
        <f>Enteric_19!Q199</f>
        <v>99.576831897237824</v>
      </c>
      <c r="E76" s="62">
        <f>Enteric_19!K75</f>
        <v>0.10353956834532374</v>
      </c>
      <c r="F76" s="261">
        <f t="shared" si="10"/>
        <v>8.9410447192063897E-2</v>
      </c>
      <c r="G76" s="194">
        <f t="shared" si="11"/>
        <v>32.634813225103322</v>
      </c>
      <c r="H76" s="317">
        <f>Enteric_19!E75</f>
        <v>0</v>
      </c>
      <c r="I76" s="189">
        <f>Enteric_19!G75</f>
        <v>0</v>
      </c>
      <c r="J76" s="196">
        <f t="shared" si="3"/>
        <v>0</v>
      </c>
      <c r="K76" s="199">
        <f>Enteric_19!C75</f>
        <v>0.24129496402877698</v>
      </c>
      <c r="L76" s="199">
        <f>Enteric_19!E199</f>
        <v>4.473226044775072</v>
      </c>
      <c r="M76" s="240">
        <f t="shared" ref="M76:M77" si="45">(K76*(268-7.03*(L76/K76))/1000)/6.25</f>
        <v>5.3152434023909564E-3</v>
      </c>
      <c r="N76" s="318">
        <f t="shared" si="41"/>
        <v>5.3152434023909564E-3</v>
      </c>
      <c r="O76" s="208">
        <f t="shared" si="7"/>
        <v>1.940063841872699</v>
      </c>
      <c r="P76" s="261">
        <f t="shared" si="44"/>
        <v>5.9447677193395575E-2</v>
      </c>
      <c r="Q76" s="208">
        <f t="shared" si="42"/>
        <v>30.694749383230622</v>
      </c>
      <c r="R76" s="212">
        <f t="shared" si="43"/>
        <v>0.41188278106992732</v>
      </c>
      <c r="T76" s="316"/>
      <c r="V76" s="319"/>
      <c r="W76" s="319"/>
    </row>
    <row r="77" spans="1:42" x14ac:dyDescent="0.2">
      <c r="A77" s="271" t="str">
        <f>Enteric_19!A76</f>
        <v>Calves on forage</v>
      </c>
      <c r="B77" s="208">
        <f>Enteric_19!B76</f>
        <v>81.92307692307692</v>
      </c>
      <c r="C77" s="47">
        <f>Enteric_19!M76</f>
        <v>0.182</v>
      </c>
      <c r="D77" s="208">
        <f>Enteric_19!Q200</f>
        <v>68.448383315554338</v>
      </c>
      <c r="E77" s="62">
        <f>Enteric_19!K76</f>
        <v>0.10323076923076924</v>
      </c>
      <c r="F77" s="261">
        <f t="shared" si="10"/>
        <v>6.1276784930230678E-2</v>
      </c>
      <c r="G77" s="194">
        <f t="shared" si="11"/>
        <v>22.366026499534197</v>
      </c>
      <c r="H77" s="317">
        <f>Enteric_19!E76</f>
        <v>0</v>
      </c>
      <c r="I77" s="189">
        <f>Enteric_19!G76</f>
        <v>0</v>
      </c>
      <c r="J77" s="196">
        <f t="shared" si="3"/>
        <v>0</v>
      </c>
      <c r="K77" s="199">
        <f>Enteric_19!C76</f>
        <v>0.32999999999999996</v>
      </c>
      <c r="L77" s="199">
        <f>Enteric_19!E200</f>
        <v>5.1614090774220038</v>
      </c>
      <c r="M77" s="240">
        <f t="shared" si="45"/>
        <v>8.3448470697157287E-3</v>
      </c>
      <c r="N77" s="318">
        <f t="shared" si="41"/>
        <v>8.3448470697157287E-3</v>
      </c>
      <c r="O77" s="208">
        <f t="shared" si="7"/>
        <v>3.0458691804462408</v>
      </c>
      <c r="P77" s="261">
        <f t="shared" si="44"/>
        <v>0.13618284770026876</v>
      </c>
      <c r="Q77" s="208">
        <f t="shared" si="42"/>
        <v>19.320157319087954</v>
      </c>
      <c r="R77" s="212">
        <f t="shared" si="43"/>
        <v>0.64611755134900861</v>
      </c>
      <c r="T77" s="316"/>
      <c r="V77" s="319"/>
      <c r="W77" s="319"/>
    </row>
    <row r="78" spans="1:42" s="330" customFormat="1" x14ac:dyDescent="0.2">
      <c r="A78" s="201" t="str">
        <f>Enteric_19!A77</f>
        <v>Africa_low productivity systems</v>
      </c>
      <c r="B78" s="210"/>
      <c r="C78" s="126"/>
      <c r="D78" s="210"/>
      <c r="E78" s="202"/>
      <c r="F78" s="324"/>
      <c r="G78" s="203">
        <f>SUMPRODUCT(C79:C84,G79:G84)</f>
        <v>32.445518180416947</v>
      </c>
      <c r="H78" s="325"/>
      <c r="I78" s="204"/>
      <c r="J78" s="205"/>
      <c r="K78" s="206"/>
      <c r="L78" s="206"/>
      <c r="M78" s="326"/>
      <c r="N78" s="327"/>
      <c r="O78" s="210"/>
      <c r="P78" s="211">
        <f>SUMPRODUCT(P79:P84,C79:C84)</f>
        <v>6.3133937583334132E-2</v>
      </c>
      <c r="Q78" s="210">
        <f>SUMPRODUCT(Q79:Q84,C79:C84)</f>
        <v>30.659076288503996</v>
      </c>
      <c r="R78" s="211">
        <f>SUMPRODUCT(R79:R84,C79:C84)</f>
        <v>0.44287151622855325</v>
      </c>
      <c r="S78" s="2"/>
      <c r="T78" s="316"/>
      <c r="U78" s="2"/>
      <c r="V78" s="319"/>
      <c r="W78" s="319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330" customFormat="1" x14ac:dyDescent="0.2">
      <c r="A79" s="271" t="str">
        <f>Enteric_19!A78</f>
        <v xml:space="preserve"> Mature Females</v>
      </c>
      <c r="B79" s="208">
        <f>Enteric_19!B78</f>
        <v>275</v>
      </c>
      <c r="C79" s="47">
        <f>Enteric_19!M78</f>
        <v>7.0000000000000007E-2</v>
      </c>
      <c r="D79" s="208">
        <f>Enteric_19!Q202</f>
        <v>131.61990340201052</v>
      </c>
      <c r="E79" s="62">
        <f>Enteric_19!K78</f>
        <v>0.1</v>
      </c>
      <c r="F79" s="261">
        <f t="shared" si="10"/>
        <v>0.11414192164944002</v>
      </c>
      <c r="G79" s="194">
        <f t="shared" si="11"/>
        <v>41.661801402045612</v>
      </c>
      <c r="H79" s="317">
        <f>Enteric_19!E78</f>
        <v>1.2</v>
      </c>
      <c r="I79" s="189">
        <f>Enteric_19!G78</f>
        <v>3.5999999999999997E-2</v>
      </c>
      <c r="J79" s="196">
        <f t="shared" si="3"/>
        <v>6.7711598746081495E-3</v>
      </c>
      <c r="K79" s="199">
        <f>Enteric_19!C78</f>
        <v>0</v>
      </c>
      <c r="L79" s="199">
        <f>Enteric_19!E202</f>
        <v>0</v>
      </c>
      <c r="M79" s="240"/>
      <c r="N79" s="318">
        <f t="shared" ref="N79:N84" si="46">J79+M79</f>
        <v>6.7711598746081495E-3</v>
      </c>
      <c r="O79" s="208">
        <f t="shared" si="7"/>
        <v>2.4714733542319745</v>
      </c>
      <c r="P79" s="261">
        <f t="shared" ref="P79:P84" si="47">N79/F79</f>
        <v>5.9322287348588444E-2</v>
      </c>
      <c r="Q79" s="208">
        <f t="shared" ref="Q79:Q84" si="48">G79-O79</f>
        <v>39.190328047813637</v>
      </c>
      <c r="R79" s="212">
        <f t="shared" ref="R79:R84" si="49">(Q79*1000/B79)/365</f>
        <v>0.39043913372666139</v>
      </c>
      <c r="S79" s="2"/>
      <c r="T79" s="316"/>
      <c r="U79" s="2"/>
      <c r="V79" s="319"/>
      <c r="W79" s="319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330" customFormat="1" x14ac:dyDescent="0.2">
      <c r="A80" s="271" t="str">
        <f>Enteric_19!A79</f>
        <v xml:space="preserve"> Mature Females-Grazing</v>
      </c>
      <c r="B80" s="208">
        <f>Enteric_19!B79</f>
        <v>275</v>
      </c>
      <c r="C80" s="47">
        <f>Enteric_19!M79</f>
        <v>0.15</v>
      </c>
      <c r="D80" s="208">
        <f>Enteric_19!Q203</f>
        <v>144.11396212077881</v>
      </c>
      <c r="E80" s="62">
        <f>Enteric_19!K79</f>
        <v>0.1</v>
      </c>
      <c r="F80" s="261">
        <f t="shared" si="10"/>
        <v>0.12497687771991658</v>
      </c>
      <c r="G80" s="194">
        <f t="shared" si="11"/>
        <v>45.616560367769551</v>
      </c>
      <c r="H80" s="317">
        <f>Enteric_19!E79</f>
        <v>1.2</v>
      </c>
      <c r="I80" s="189">
        <f>Enteric_19!G79</f>
        <v>3.5999999999999997E-2</v>
      </c>
      <c r="J80" s="196">
        <f t="shared" ref="J80:J121" si="50">H80*I80/6.38</f>
        <v>6.7711598746081495E-3</v>
      </c>
      <c r="K80" s="199">
        <f>Enteric_19!C79</f>
        <v>0</v>
      </c>
      <c r="L80" s="199">
        <f>Enteric_19!E203</f>
        <v>0</v>
      </c>
      <c r="M80" s="240"/>
      <c r="N80" s="318">
        <f t="shared" si="46"/>
        <v>6.7711598746081495E-3</v>
      </c>
      <c r="O80" s="208">
        <f t="shared" ref="O80:O121" si="51">N80*365</f>
        <v>2.4714733542319745</v>
      </c>
      <c r="P80" s="261">
        <f t="shared" si="47"/>
        <v>5.417930098864266E-2</v>
      </c>
      <c r="Q80" s="208">
        <f t="shared" si="48"/>
        <v>43.145087013537577</v>
      </c>
      <c r="R80" s="212">
        <f t="shared" si="49"/>
        <v>0.42983897398293974</v>
      </c>
      <c r="S80" s="2"/>
      <c r="T80" s="316"/>
      <c r="U80" s="2"/>
      <c r="V80" s="319"/>
      <c r="W80" s="319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330" customFormat="1" x14ac:dyDescent="0.2">
      <c r="A81" s="271" t="str">
        <f>Enteric_19!A80</f>
        <v xml:space="preserve"> Draft Bullocks</v>
      </c>
      <c r="B81" s="208">
        <f>Enteric_19!B80</f>
        <v>340</v>
      </c>
      <c r="C81" s="47">
        <f>Enteric_19!M80</f>
        <v>0.05</v>
      </c>
      <c r="D81" s="208">
        <f>Enteric_19!Q204</f>
        <v>100.47800127202541</v>
      </c>
      <c r="E81" s="62">
        <f>Enteric_19!K80</f>
        <v>0.1</v>
      </c>
      <c r="F81" s="261">
        <f t="shared" si="10"/>
        <v>8.7135394057041016E-2</v>
      </c>
      <c r="G81" s="194">
        <f t="shared" si="11"/>
        <v>31.804418830819969</v>
      </c>
      <c r="H81" s="317">
        <f>Enteric_19!E80</f>
        <v>0</v>
      </c>
      <c r="I81" s="189">
        <f>Enteric_19!G80</f>
        <v>0</v>
      </c>
      <c r="J81" s="196">
        <f t="shared" si="50"/>
        <v>0</v>
      </c>
      <c r="K81" s="199">
        <f>Enteric_19!C80</f>
        <v>0</v>
      </c>
      <c r="L81" s="199">
        <f>Enteric_19!E204</f>
        <v>0</v>
      </c>
      <c r="M81" s="240"/>
      <c r="N81" s="318">
        <f t="shared" si="46"/>
        <v>0</v>
      </c>
      <c r="O81" s="208">
        <f t="shared" si="51"/>
        <v>0</v>
      </c>
      <c r="P81" s="261">
        <f t="shared" si="47"/>
        <v>0</v>
      </c>
      <c r="Q81" s="208">
        <f t="shared" si="48"/>
        <v>31.804418830819969</v>
      </c>
      <c r="R81" s="212">
        <f t="shared" si="49"/>
        <v>0.25628057075600297</v>
      </c>
      <c r="S81" s="2"/>
      <c r="T81" s="316"/>
      <c r="U81" s="2"/>
      <c r="V81" s="319"/>
      <c r="W81" s="319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330" customFormat="1" x14ac:dyDescent="0.2">
      <c r="A82" s="271" t="str">
        <f>Enteric_19!A81</f>
        <v xml:space="preserve"> Bulls - Grazing</v>
      </c>
      <c r="B82" s="208">
        <f>Enteric_19!B81</f>
        <v>340</v>
      </c>
      <c r="C82" s="47">
        <f>Enteric_19!M81</f>
        <v>0.11</v>
      </c>
      <c r="D82" s="208">
        <f>Enteric_19!Q205</f>
        <v>141.45971193577074</v>
      </c>
      <c r="E82" s="62">
        <f>Enteric_19!K81</f>
        <v>0.1</v>
      </c>
      <c r="F82" s="261">
        <f t="shared" si="10"/>
        <v>0.12267508894158981</v>
      </c>
      <c r="G82" s="194">
        <f t="shared" si="11"/>
        <v>44.776407463680279</v>
      </c>
      <c r="H82" s="317">
        <f>Enteric_19!E81</f>
        <v>0</v>
      </c>
      <c r="I82" s="189">
        <f>Enteric_19!G81</f>
        <v>0</v>
      </c>
      <c r="J82" s="196">
        <f t="shared" si="50"/>
        <v>0</v>
      </c>
      <c r="K82" s="199">
        <f>Enteric_19!C81</f>
        <v>0</v>
      </c>
      <c r="L82" s="199">
        <f>Enteric_19!E205</f>
        <v>0</v>
      </c>
      <c r="M82" s="240"/>
      <c r="N82" s="318">
        <f t="shared" si="46"/>
        <v>0</v>
      </c>
      <c r="O82" s="208">
        <f t="shared" si="51"/>
        <v>0</v>
      </c>
      <c r="P82" s="261">
        <f t="shared" si="47"/>
        <v>0</v>
      </c>
      <c r="Q82" s="208">
        <f t="shared" si="48"/>
        <v>44.776407463680279</v>
      </c>
      <c r="R82" s="212">
        <f t="shared" si="49"/>
        <v>0.36080908512232296</v>
      </c>
      <c r="S82" s="2"/>
      <c r="T82" s="316"/>
      <c r="U82" s="2"/>
      <c r="V82" s="319"/>
      <c r="W82" s="319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">
      <c r="A83" s="271" t="str">
        <f>Enteric_19!A82</f>
        <v>Growing/Replacement</v>
      </c>
      <c r="B83" s="208">
        <f>Enteric_19!B82</f>
        <v>185</v>
      </c>
      <c r="C83" s="47">
        <f>Enteric_19!M82</f>
        <v>0.42</v>
      </c>
      <c r="D83" s="208">
        <f>Enteric_19!Q206</f>
        <v>90.66801537677695</v>
      </c>
      <c r="E83" s="62">
        <f>Enteric_19!K82</f>
        <v>0.1</v>
      </c>
      <c r="F83" s="261">
        <f t="shared" si="10"/>
        <v>7.8628089215633121E-2</v>
      </c>
      <c r="G83" s="194">
        <f t="shared" si="11"/>
        <v>28.699252563706089</v>
      </c>
      <c r="H83" s="317">
        <f>Enteric_19!E82</f>
        <v>0</v>
      </c>
      <c r="I83" s="189">
        <f>Enteric_19!G82</f>
        <v>0</v>
      </c>
      <c r="J83" s="196">
        <f t="shared" si="50"/>
        <v>0</v>
      </c>
      <c r="K83" s="199">
        <f>Enteric_19!C82</f>
        <v>0.2</v>
      </c>
      <c r="L83" s="199">
        <f>Enteric_19!E206</f>
        <v>3.6077294589951974</v>
      </c>
      <c r="M83" s="240">
        <f t="shared" ref="M83:M84" si="52">(K83*(268-7.03*(L83/K83))/1000)/6.25</f>
        <v>4.518025904522203E-3</v>
      </c>
      <c r="N83" s="318">
        <f t="shared" si="46"/>
        <v>4.518025904522203E-3</v>
      </c>
      <c r="O83" s="208">
        <f t="shared" si="51"/>
        <v>1.6490794551506041</v>
      </c>
      <c r="P83" s="261">
        <f t="shared" si="47"/>
        <v>5.7460710918864767E-2</v>
      </c>
      <c r="Q83" s="208">
        <f t="shared" si="48"/>
        <v>27.050173108555484</v>
      </c>
      <c r="R83" s="212">
        <f t="shared" si="49"/>
        <v>0.40059493681681568</v>
      </c>
      <c r="T83" s="316"/>
      <c r="V83" s="319"/>
      <c r="W83" s="319"/>
    </row>
    <row r="84" spans="1:42" x14ac:dyDescent="0.2">
      <c r="A84" s="271" t="str">
        <f>Enteric_19!A83</f>
        <v>Calves on forage</v>
      </c>
      <c r="B84" s="208">
        <f>Enteric_19!B83</f>
        <v>75</v>
      </c>
      <c r="C84" s="47">
        <f>Enteric_19!M83</f>
        <v>0.2</v>
      </c>
      <c r="D84" s="208">
        <f>Enteric_19!Q207</f>
        <v>65.039349028270166</v>
      </c>
      <c r="E84" s="62">
        <f>Enteric_19!K83</f>
        <v>0.1</v>
      </c>
      <c r="F84" s="261">
        <f t="shared" si="10"/>
        <v>5.6402687504190932E-2</v>
      </c>
      <c r="G84" s="194">
        <f t="shared" si="11"/>
        <v>20.58698093902969</v>
      </c>
      <c r="H84" s="317">
        <f>Enteric_19!E83</f>
        <v>0</v>
      </c>
      <c r="I84" s="189">
        <f>Enteric_19!G83</f>
        <v>0</v>
      </c>
      <c r="J84" s="196">
        <f t="shared" si="50"/>
        <v>0</v>
      </c>
      <c r="K84" s="199">
        <f>Enteric_19!C83</f>
        <v>0.3</v>
      </c>
      <c r="L84" s="199">
        <f>Enteric_19!E207</f>
        <v>4.7371297324252959</v>
      </c>
      <c r="M84" s="240">
        <f t="shared" si="52"/>
        <v>7.5356764769680274E-3</v>
      </c>
      <c r="N84" s="318">
        <f t="shared" si="46"/>
        <v>7.5356764769680274E-3</v>
      </c>
      <c r="O84" s="208">
        <f t="shared" si="51"/>
        <v>2.7505219140933299</v>
      </c>
      <c r="P84" s="261">
        <f t="shared" si="47"/>
        <v>0.13360491867356672</v>
      </c>
      <c r="Q84" s="208">
        <f t="shared" si="48"/>
        <v>17.83645902493636</v>
      </c>
      <c r="R84" s="212">
        <f t="shared" si="49"/>
        <v>0.65156014702963871</v>
      </c>
      <c r="T84" s="316"/>
      <c r="V84" s="319"/>
      <c r="W84" s="319"/>
    </row>
    <row r="85" spans="1:42" x14ac:dyDescent="0.2">
      <c r="A85" s="201" t="str">
        <f>Enteric_19!A84</f>
        <v>Africa_high productivity systems</v>
      </c>
      <c r="B85" s="210"/>
      <c r="C85" s="126"/>
      <c r="D85" s="210"/>
      <c r="E85" s="202"/>
      <c r="F85" s="324"/>
      <c r="G85" s="203">
        <f>SUMPRODUCT(C86:C89,G86:G89)</f>
        <v>47.723026974155623</v>
      </c>
      <c r="H85" s="325"/>
      <c r="I85" s="204"/>
      <c r="J85" s="205"/>
      <c r="K85" s="206"/>
      <c r="L85" s="206"/>
      <c r="M85" s="326"/>
      <c r="N85" s="327"/>
      <c r="O85" s="210"/>
      <c r="P85" s="211">
        <f>SUMPRODUCT(P86:P89,C86:C89)</f>
        <v>9.1402931481784036E-2</v>
      </c>
      <c r="Q85" s="210">
        <f>SUMPRODUCT(Q86:Q89,C86:C89)</f>
        <v>43.536985330561379</v>
      </c>
      <c r="R85" s="211">
        <f>SUMPRODUCT(R86:R89,C86:C89)</f>
        <v>0.42077621991668357</v>
      </c>
      <c r="T85" s="316"/>
      <c r="V85" s="319"/>
      <c r="W85" s="319"/>
    </row>
    <row r="86" spans="1:42" x14ac:dyDescent="0.2">
      <c r="A86" s="271" t="str">
        <f>Enteric_19!A85</f>
        <v xml:space="preserve"> Mature Females</v>
      </c>
      <c r="B86" s="208">
        <f>Enteric_19!B85</f>
        <v>390</v>
      </c>
      <c r="C86" s="47">
        <f>Enteric_19!M85</f>
        <v>0.39</v>
      </c>
      <c r="D86" s="208">
        <f>Enteric_19!Q209</f>
        <v>166.34614332555674</v>
      </c>
      <c r="E86" s="62">
        <f>Enteric_19!K85</f>
        <v>0.11799999999999999</v>
      </c>
      <c r="F86" s="261">
        <f t="shared" si="10"/>
        <v>0.170223045310922</v>
      </c>
      <c r="G86" s="194">
        <f t="shared" si="11"/>
        <v>62.131411538486532</v>
      </c>
      <c r="H86" s="317">
        <f>Enteric_19!E85</f>
        <v>2.9</v>
      </c>
      <c r="I86" s="189">
        <f>Enteric_19!G85</f>
        <v>3.5000000000000003E-2</v>
      </c>
      <c r="J86" s="196">
        <f t="shared" si="50"/>
        <v>1.5909090909090911E-2</v>
      </c>
      <c r="K86" s="199">
        <f>Enteric_19!C85</f>
        <v>0</v>
      </c>
      <c r="L86" s="199">
        <f>Enteric_19!E209</f>
        <v>0</v>
      </c>
      <c r="M86" s="240"/>
      <c r="N86" s="318">
        <f t="shared" ref="N86:N89" si="53">J86+M86</f>
        <v>1.5909090909090911E-2</v>
      </c>
      <c r="O86" s="208">
        <f t="shared" si="51"/>
        <v>5.8068181818181825</v>
      </c>
      <c r="P86" s="261">
        <f t="shared" ref="P86:P89" si="54">N86/F86</f>
        <v>9.3460264913202903E-2</v>
      </c>
      <c r="Q86" s="208">
        <f>G86-O86</f>
        <v>56.324593356668352</v>
      </c>
      <c r="R86" s="212">
        <f>(Q86*1000/B86)/365</f>
        <v>0.39567680615854128</v>
      </c>
      <c r="T86" s="316"/>
      <c r="V86" s="319"/>
      <c r="W86" s="319"/>
    </row>
    <row r="87" spans="1:42" x14ac:dyDescent="0.2">
      <c r="A87" s="271" t="str">
        <f>Enteric_19!A86</f>
        <v>Mature Males</v>
      </c>
      <c r="B87" s="208">
        <f>Enteric_19!B86</f>
        <v>540</v>
      </c>
      <c r="C87" s="47">
        <f>Enteric_19!M86</f>
        <v>0.06</v>
      </c>
      <c r="D87" s="208">
        <f>Enteric_19!Q210</f>
        <v>172.17332032614846</v>
      </c>
      <c r="E87" s="62">
        <f>Enteric_19!K86</f>
        <v>0.112</v>
      </c>
      <c r="F87" s="261">
        <f t="shared" si="10"/>
        <v>0.16722742006745697</v>
      </c>
      <c r="G87" s="194">
        <f t="shared" si="11"/>
        <v>61.038008324621792</v>
      </c>
      <c r="H87" s="317">
        <f>Enteric_19!E86</f>
        <v>0</v>
      </c>
      <c r="I87" s="189">
        <f>Enteric_19!G86</f>
        <v>0</v>
      </c>
      <c r="J87" s="196">
        <f t="shared" si="50"/>
        <v>0</v>
      </c>
      <c r="K87" s="199">
        <f>Enteric_19!C86</f>
        <v>0</v>
      </c>
      <c r="L87" s="199">
        <f>Enteric_19!E210</f>
        <v>0</v>
      </c>
      <c r="M87" s="240"/>
      <c r="N87" s="318">
        <f t="shared" si="53"/>
        <v>0</v>
      </c>
      <c r="O87" s="208">
        <f t="shared" si="51"/>
        <v>0</v>
      </c>
      <c r="P87" s="261">
        <f t="shared" si="54"/>
        <v>0</v>
      </c>
      <c r="Q87" s="208">
        <f>G87-O87</f>
        <v>61.038008324621792</v>
      </c>
      <c r="R87" s="212">
        <f>(Q87*1000/B87)/365</f>
        <v>0.30968040753232773</v>
      </c>
      <c r="T87" s="316"/>
      <c r="V87" s="319"/>
      <c r="W87" s="319"/>
    </row>
    <row r="88" spans="1:42" s="328" customFormat="1" x14ac:dyDescent="0.2">
      <c r="A88" s="271" t="str">
        <f>Enteric_19!A87</f>
        <v>Growing/Replacement</v>
      </c>
      <c r="B88" s="208">
        <f>Enteric_19!B87</f>
        <v>250</v>
      </c>
      <c r="C88" s="47">
        <f>Enteric_19!M87</f>
        <v>0.41</v>
      </c>
      <c r="D88" s="208">
        <f>Enteric_19!Q211</f>
        <v>109.08613198359386</v>
      </c>
      <c r="E88" s="62">
        <f>Enteric_19!K87</f>
        <v>0.112</v>
      </c>
      <c r="F88" s="261">
        <f t="shared" ref="F88:F121" si="55">D88/18.45*(E88/6.25)</f>
        <v>0.10595249241983752</v>
      </c>
      <c r="G88" s="194">
        <f t="shared" ref="G88:G121" si="56">F88*365</f>
        <v>38.672659733240693</v>
      </c>
      <c r="H88" s="317">
        <f>Enteric_19!E87</f>
        <v>0</v>
      </c>
      <c r="I88" s="189">
        <f>Enteric_19!G87</f>
        <v>0</v>
      </c>
      <c r="J88" s="196">
        <f t="shared" si="50"/>
        <v>0</v>
      </c>
      <c r="K88" s="199">
        <f>Enteric_19!C87</f>
        <v>0.34</v>
      </c>
      <c r="L88" s="199">
        <f>Enteric_19!E211</f>
        <v>4.8871568187095882</v>
      </c>
      <c r="M88" s="240">
        <f t="shared" ref="M88:M89" si="57">(K88*(268-7.03*(L88/K88))/1000)/6.25</f>
        <v>9.0821260103154562E-3</v>
      </c>
      <c r="N88" s="318">
        <f t="shared" si="53"/>
        <v>9.0821260103154562E-3</v>
      </c>
      <c r="O88" s="208">
        <f t="shared" si="51"/>
        <v>3.3149759937651417</v>
      </c>
      <c r="P88" s="261">
        <f t="shared" si="54"/>
        <v>8.5718851939107443E-2</v>
      </c>
      <c r="Q88" s="208">
        <f>G88-O88</f>
        <v>35.357683739475547</v>
      </c>
      <c r="R88" s="212">
        <f>(Q88*1000/B88)/365</f>
        <v>0.38748146563808816</v>
      </c>
      <c r="S88" s="2"/>
      <c r="T88" s="316"/>
      <c r="U88" s="2"/>
      <c r="V88" s="319"/>
      <c r="W88" s="319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s="328" customFormat="1" x14ac:dyDescent="0.2">
      <c r="A89" s="271" t="str">
        <f>Enteric_19!A88</f>
        <v>Calves on forage</v>
      </c>
      <c r="B89" s="208">
        <f>Enteric_19!B88</f>
        <v>105</v>
      </c>
      <c r="C89" s="47">
        <f>Enteric_19!M88</f>
        <v>0.14000000000000001</v>
      </c>
      <c r="D89" s="208">
        <f>Enteric_19!Q212</f>
        <v>78.658618056845697</v>
      </c>
      <c r="E89" s="62">
        <f>Enteric_19!K88</f>
        <v>0.114</v>
      </c>
      <c r="F89" s="261">
        <f t="shared" si="55"/>
        <v>7.7763316713109251E-2</v>
      </c>
      <c r="G89" s="194">
        <f t="shared" si="56"/>
        <v>28.383610600284875</v>
      </c>
      <c r="H89" s="317">
        <f>Enteric_19!E88</f>
        <v>0</v>
      </c>
      <c r="I89" s="189">
        <f>Enteric_19!G88</f>
        <v>0</v>
      </c>
      <c r="J89" s="196">
        <f t="shared" si="50"/>
        <v>0</v>
      </c>
      <c r="K89" s="199">
        <f>Enteric_19!C88</f>
        <v>0.43</v>
      </c>
      <c r="L89" s="199">
        <f>Enteric_19!E212</f>
        <v>6.6106093530967875</v>
      </c>
      <c r="M89" s="240">
        <f t="shared" si="57"/>
        <v>1.1002786599636733E-2</v>
      </c>
      <c r="N89" s="318">
        <f t="shared" si="53"/>
        <v>1.1002786599636733E-2</v>
      </c>
      <c r="O89" s="208">
        <f t="shared" si="51"/>
        <v>4.0160171088674073</v>
      </c>
      <c r="P89" s="261">
        <f t="shared" si="54"/>
        <v>0.14149070621857743</v>
      </c>
      <c r="Q89" s="208">
        <f>G89-O89</f>
        <v>24.367593491417466</v>
      </c>
      <c r="R89" s="212">
        <f>(Q89*1000/B89)/365</f>
        <v>0.63581457250926199</v>
      </c>
      <c r="S89" s="2"/>
      <c r="T89" s="316"/>
      <c r="U89" s="2"/>
      <c r="V89" s="319"/>
      <c r="W89" s="319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s="328" customFormat="1" x14ac:dyDescent="0.2">
      <c r="A90" s="190" t="str">
        <f>Enteric_19!A89</f>
        <v>Indian Subcontinent</v>
      </c>
      <c r="B90" s="209"/>
      <c r="C90" s="278"/>
      <c r="D90" s="209"/>
      <c r="E90" s="192"/>
      <c r="F90" s="320"/>
      <c r="G90" s="195">
        <f>SUMPRODUCT(C91:C95,G91:G95)</f>
        <v>33.067311802123349</v>
      </c>
      <c r="H90" s="321"/>
      <c r="I90" s="193"/>
      <c r="J90" s="197"/>
      <c r="K90" s="200"/>
      <c r="L90" s="200"/>
      <c r="M90" s="322"/>
      <c r="N90" s="323"/>
      <c r="O90" s="209"/>
      <c r="P90" s="191">
        <f>SUMPRODUCT(P91:P95,C91:C95)</f>
        <v>4.2666109087338394E-2</v>
      </c>
      <c r="Q90" s="209">
        <f>SUMPRODUCT(Q91:Q95,C91:C95)</f>
        <v>31.711692183770687</v>
      </c>
      <c r="R90" s="191">
        <f>SUMPRODUCT(R91:R95,C91:C95)</f>
        <v>0.43809872533477989</v>
      </c>
      <c r="S90" s="2"/>
      <c r="T90" s="316"/>
      <c r="U90" s="2"/>
      <c r="V90" s="319"/>
      <c r="W90" s="319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328" customFormat="1" x14ac:dyDescent="0.2">
      <c r="A91" s="271" t="str">
        <f>Enteric_19!A90</f>
        <v xml:space="preserve"> Mature Females</v>
      </c>
      <c r="B91" s="208">
        <f>Enteric_19!B90</f>
        <v>252.87671232876713</v>
      </c>
      <c r="C91" s="47">
        <f>Enteric_19!M90</f>
        <v>0.219</v>
      </c>
      <c r="D91" s="208">
        <f>Enteric_19!Q214</f>
        <v>134.78324272511401</v>
      </c>
      <c r="E91" s="62">
        <f>Enteric_19!K90</f>
        <v>0.10172602739726028</v>
      </c>
      <c r="F91" s="261">
        <f t="shared" si="55"/>
        <v>0.11890266746576936</v>
      </c>
      <c r="G91" s="194">
        <f t="shared" si="56"/>
        <v>43.399473625005818</v>
      </c>
      <c r="H91" s="317">
        <f>Enteric_19!E90</f>
        <v>1.7460273972602738</v>
      </c>
      <c r="I91" s="189">
        <f>Enteric_19!G90</f>
        <v>3.2000000000000001E-2</v>
      </c>
      <c r="J91" s="196">
        <f t="shared" si="50"/>
        <v>8.7575041868853849E-3</v>
      </c>
      <c r="K91" s="199">
        <f>Enteric_19!C90</f>
        <v>0</v>
      </c>
      <c r="L91" s="199">
        <f>Enteric_19!E214</f>
        <v>0</v>
      </c>
      <c r="M91" s="240"/>
      <c r="N91" s="318">
        <f t="shared" ref="N91:N95" si="58">J91+M91</f>
        <v>8.7575041868853849E-3</v>
      </c>
      <c r="O91" s="208">
        <f t="shared" si="51"/>
        <v>3.1964890282131657</v>
      </c>
      <c r="P91" s="261">
        <f t="shared" ref="P91:P95" si="59">N91/F91</f>
        <v>7.365271422028076E-2</v>
      </c>
      <c r="Q91" s="208">
        <f>G91-O91</f>
        <v>40.202984596792653</v>
      </c>
      <c r="R91" s="212">
        <f>(Q91*1000/B91)/365</f>
        <v>0.43556863051779687</v>
      </c>
      <c r="S91" s="2"/>
      <c r="T91" s="316"/>
      <c r="U91" s="2"/>
      <c r="V91" s="319"/>
      <c r="W91" s="319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s="328" customFormat="1" x14ac:dyDescent="0.2">
      <c r="A92" s="271" t="str">
        <f>Enteric_19!A91</f>
        <v xml:space="preserve"> Mature Males</v>
      </c>
      <c r="B92" s="208">
        <f>Enteric_19!B91</f>
        <v>308.89570552147234</v>
      </c>
      <c r="C92" s="47">
        <f>Enteric_19!M91</f>
        <v>3.2600000000000004E-2</v>
      </c>
      <c r="D92" s="208">
        <f>Enteric_19!Q215</f>
        <v>115.24042863908988</v>
      </c>
      <c r="E92" s="62">
        <f>Enteric_19!K91</f>
        <v>0.1141717791411043</v>
      </c>
      <c r="F92" s="261">
        <f t="shared" si="55"/>
        <v>0.11410042074110233</v>
      </c>
      <c r="G92" s="194">
        <f t="shared" si="56"/>
        <v>41.646653570502352</v>
      </c>
      <c r="H92" s="317">
        <f>Enteric_19!E91</f>
        <v>0</v>
      </c>
      <c r="I92" s="189">
        <f>Enteric_19!G91</f>
        <v>0</v>
      </c>
      <c r="J92" s="196">
        <f t="shared" si="50"/>
        <v>0</v>
      </c>
      <c r="K92" s="199">
        <f>Enteric_19!C91</f>
        <v>0</v>
      </c>
      <c r="L92" s="199">
        <f>Enteric_19!E215</f>
        <v>0</v>
      </c>
      <c r="M92" s="240"/>
      <c r="N92" s="318">
        <f t="shared" si="58"/>
        <v>0</v>
      </c>
      <c r="O92" s="208">
        <f t="shared" si="51"/>
        <v>0</v>
      </c>
      <c r="P92" s="261">
        <f t="shared" si="59"/>
        <v>0</v>
      </c>
      <c r="Q92" s="208">
        <f>G92-O92</f>
        <v>41.646653570502352</v>
      </c>
      <c r="R92" s="212">
        <f>(Q92*1000/B92)/365</f>
        <v>0.36938169971796786</v>
      </c>
      <c r="S92" s="2"/>
      <c r="T92" s="316"/>
      <c r="U92" s="2"/>
      <c r="V92" s="319"/>
      <c r="W92" s="319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">
      <c r="A93" s="271" t="str">
        <f>Enteric_19!A92</f>
        <v>Draft bullocks</v>
      </c>
      <c r="B93" s="208">
        <f>Enteric_19!B92</f>
        <v>290</v>
      </c>
      <c r="C93" s="47">
        <f>Enteric_19!M92</f>
        <v>0.43</v>
      </c>
      <c r="D93" s="208">
        <f>Enteric_19!Q216</f>
        <v>102.37886860201898</v>
      </c>
      <c r="E93" s="62">
        <f>Enteric_19!K92</f>
        <v>0.1</v>
      </c>
      <c r="F93" s="261">
        <f t="shared" si="55"/>
        <v>8.8783842690097772E-2</v>
      </c>
      <c r="G93" s="194">
        <f t="shared" si="56"/>
        <v>32.406102581885683</v>
      </c>
      <c r="H93" s="317">
        <f>Enteric_19!E92</f>
        <v>0</v>
      </c>
      <c r="I93" s="189">
        <f>Enteric_19!G92</f>
        <v>0</v>
      </c>
      <c r="J93" s="196">
        <f t="shared" si="50"/>
        <v>0</v>
      </c>
      <c r="K93" s="199">
        <f>Enteric_19!C92</f>
        <v>0</v>
      </c>
      <c r="L93" s="199">
        <f>Enteric_19!E216</f>
        <v>0</v>
      </c>
      <c r="M93" s="240"/>
      <c r="N93" s="318">
        <f t="shared" si="58"/>
        <v>0</v>
      </c>
      <c r="O93" s="208">
        <f t="shared" si="51"/>
        <v>0</v>
      </c>
      <c r="P93" s="261">
        <f t="shared" si="59"/>
        <v>0</v>
      </c>
      <c r="Q93" s="208">
        <f>G93-O93</f>
        <v>32.406102581885683</v>
      </c>
      <c r="R93" s="212">
        <f>(Q93*1000/B93)/365</f>
        <v>0.30615118168999228</v>
      </c>
      <c r="T93" s="316"/>
      <c r="V93" s="319"/>
      <c r="W93" s="319"/>
    </row>
    <row r="94" spans="1:42" x14ac:dyDescent="0.2">
      <c r="A94" s="271" t="str">
        <f>Enteric_19!A93</f>
        <v>Replacement/growing</v>
      </c>
      <c r="B94" s="208">
        <f>Enteric_19!B93</f>
        <v>152.18905472636817</v>
      </c>
      <c r="C94" s="47">
        <f>Enteric_19!M93</f>
        <v>0.1608</v>
      </c>
      <c r="D94" s="208">
        <f>Enteric_19!Q217</f>
        <v>86.356131101146602</v>
      </c>
      <c r="E94" s="62">
        <f>Enteric_19!K93</f>
        <v>0.10914179104477613</v>
      </c>
      <c r="F94" s="261">
        <f t="shared" si="55"/>
        <v>8.1734962090637492E-2</v>
      </c>
      <c r="G94" s="194">
        <f t="shared" si="56"/>
        <v>29.833261163082685</v>
      </c>
      <c r="H94" s="317">
        <f>Enteric_19!E93</f>
        <v>0</v>
      </c>
      <c r="I94" s="189">
        <f>Enteric_19!G93</f>
        <v>0</v>
      </c>
      <c r="J94" s="196">
        <f t="shared" si="50"/>
        <v>0</v>
      </c>
      <c r="K94" s="199">
        <f>Enteric_19!C93</f>
        <v>0.20485074626865674</v>
      </c>
      <c r="L94" s="199">
        <f>Enteric_19!E217</f>
        <v>3.7068212446713322</v>
      </c>
      <c r="M94" s="240">
        <f t="shared" ref="M94:M95" si="60">(K94*(268-7.03*(L94/K94))/1000)/6.25</f>
        <v>4.6145674639936863E-3</v>
      </c>
      <c r="N94" s="318">
        <f t="shared" si="58"/>
        <v>4.6145674639936863E-3</v>
      </c>
      <c r="O94" s="208">
        <f t="shared" si="51"/>
        <v>1.6843171243576955</v>
      </c>
      <c r="P94" s="261">
        <f t="shared" si="59"/>
        <v>5.6457693818668477E-2</v>
      </c>
      <c r="Q94" s="208">
        <f>G94-O94</f>
        <v>28.148944038724991</v>
      </c>
      <c r="R94" s="212">
        <f>(Q94*1000/B94)/365</f>
        <v>0.50674074272492342</v>
      </c>
      <c r="T94" s="316"/>
      <c r="V94" s="319"/>
      <c r="W94" s="319"/>
    </row>
    <row r="95" spans="1:42" x14ac:dyDescent="0.2">
      <c r="A95" s="271" t="str">
        <f>Enteric_19!A94</f>
        <v>Calves on forage</v>
      </c>
      <c r="B95" s="208">
        <f>Enteric_19!B94</f>
        <v>71.992385786802032</v>
      </c>
      <c r="C95" s="47">
        <f>Enteric_19!M94</f>
        <v>0.15760000000000002</v>
      </c>
      <c r="D95" s="208">
        <f>Enteric_19!Q218</f>
        <v>62.170637344319964</v>
      </c>
      <c r="E95" s="62">
        <f>Enteric_19!K94</f>
        <v>0.11199238578680204</v>
      </c>
      <c r="F95" s="261">
        <f t="shared" si="55"/>
        <v>6.0380600560012522E-2</v>
      </c>
      <c r="G95" s="194">
        <f t="shared" si="56"/>
        <v>22.038919204404571</v>
      </c>
      <c r="H95" s="317">
        <f>Enteric_19!E94</f>
        <v>0</v>
      </c>
      <c r="I95" s="189">
        <f>Enteric_19!G94</f>
        <v>0</v>
      </c>
      <c r="J95" s="196">
        <f t="shared" si="50"/>
        <v>0</v>
      </c>
      <c r="K95" s="199">
        <f>Enteric_19!C94</f>
        <v>0.26397208121827409</v>
      </c>
      <c r="L95" s="199">
        <f>Enteric_19!E218</f>
        <v>4.1168247930311423</v>
      </c>
      <c r="M95" s="240">
        <f t="shared" si="60"/>
        <v>6.6885183154381635E-3</v>
      </c>
      <c r="N95" s="318">
        <f t="shared" si="58"/>
        <v>6.6885183154381635E-3</v>
      </c>
      <c r="O95" s="208">
        <f t="shared" si="51"/>
        <v>2.4413091851349296</v>
      </c>
      <c r="P95" s="261">
        <f t="shared" si="59"/>
        <v>0.11077263646608514</v>
      </c>
      <c r="Q95" s="208">
        <f>G95-O95</f>
        <v>19.597610019269641</v>
      </c>
      <c r="R95" s="212">
        <f>(Q95*1000/B95)/365</f>
        <v>0.74580223530274281</v>
      </c>
      <c r="T95" s="316"/>
      <c r="V95" s="319"/>
      <c r="W95" s="319"/>
    </row>
    <row r="96" spans="1:42" x14ac:dyDescent="0.2">
      <c r="A96" s="201" t="str">
        <f>Enteric_19!A95</f>
        <v>India_low productivity systems</v>
      </c>
      <c r="B96" s="210"/>
      <c r="C96" s="126"/>
      <c r="D96" s="210"/>
      <c r="E96" s="202"/>
      <c r="F96" s="324"/>
      <c r="G96" s="203">
        <f>SUMPRODUCT(C97:C101,G97:G101)</f>
        <v>32.440162259521891</v>
      </c>
      <c r="H96" s="325"/>
      <c r="I96" s="204"/>
      <c r="J96" s="205"/>
      <c r="K96" s="206"/>
      <c r="L96" s="206"/>
      <c r="M96" s="326"/>
      <c r="N96" s="327"/>
      <c r="O96" s="210"/>
      <c r="P96" s="211">
        <f>SUMPRODUCT(P97:P101,C97:C101)</f>
        <v>3.9231005261119091E-2</v>
      </c>
      <c r="Q96" s="210">
        <f>SUMPRODUCT(Q97:Q101,C97:C101)</f>
        <v>31.188386537596234</v>
      </c>
      <c r="R96" s="211">
        <f>SUMPRODUCT(R97:R101,C97:C101)</f>
        <v>0.40399377240857964</v>
      </c>
      <c r="T96" s="316"/>
      <c r="V96" s="319"/>
      <c r="W96" s="319"/>
    </row>
    <row r="97" spans="1:23" x14ac:dyDescent="0.2">
      <c r="A97" s="271" t="str">
        <f>Enteric_19!A96</f>
        <v xml:space="preserve"> Mature Females</v>
      </c>
      <c r="B97" s="208">
        <f>Enteric_19!B96</f>
        <v>250</v>
      </c>
      <c r="C97" s="47">
        <f>Enteric_19!M96</f>
        <v>0.24</v>
      </c>
      <c r="D97" s="208">
        <f>Enteric_19!Q220</f>
        <v>134.65526889574082</v>
      </c>
      <c r="E97" s="62">
        <f>Enteric_19!K96</f>
        <v>0.1</v>
      </c>
      <c r="F97" s="261">
        <f t="shared" si="55"/>
        <v>0.11677421692855573</v>
      </c>
      <c r="G97" s="194">
        <f t="shared" si="56"/>
        <v>42.622589178922844</v>
      </c>
      <c r="H97" s="317">
        <f>Enteric_19!E96</f>
        <v>1.7</v>
      </c>
      <c r="I97" s="189">
        <f>Enteric_19!G96</f>
        <v>3.6999999999999998E-2</v>
      </c>
      <c r="J97" s="196">
        <f t="shared" si="50"/>
        <v>9.8589341692789968E-3</v>
      </c>
      <c r="K97" s="199">
        <f>Enteric_19!C96</f>
        <v>0</v>
      </c>
      <c r="L97" s="199">
        <f>Enteric_19!E220</f>
        <v>0</v>
      </c>
      <c r="M97" s="240"/>
      <c r="N97" s="318">
        <f t="shared" ref="N97:N101" si="61">J97+M97</f>
        <v>9.8589341692789968E-3</v>
      </c>
      <c r="O97" s="208">
        <f t="shared" si="51"/>
        <v>3.5985109717868338</v>
      </c>
      <c r="P97" s="261">
        <f t="shared" ref="P97:P101" si="62">N97/F97</f>
        <v>8.4427319904965367E-2</v>
      </c>
      <c r="Q97" s="208">
        <f>G97-O97</f>
        <v>39.024078207136007</v>
      </c>
      <c r="R97" s="212">
        <f>(Q97*1000/B97)/365</f>
        <v>0.42766113103710696</v>
      </c>
      <c r="T97" s="316"/>
      <c r="V97" s="319"/>
      <c r="W97" s="319"/>
    </row>
    <row r="98" spans="1:23" x14ac:dyDescent="0.2">
      <c r="A98" s="271" t="str">
        <f>Enteric_19!A97</f>
        <v xml:space="preserve"> Mature Males</v>
      </c>
      <c r="B98" s="208">
        <f>Enteric_19!B97</f>
        <v>290</v>
      </c>
      <c r="C98" s="47">
        <f>Enteric_19!M97</f>
        <v>0.02</v>
      </c>
      <c r="D98" s="208">
        <f>Enteric_19!Q221</f>
        <v>117.64031485325162</v>
      </c>
      <c r="E98" s="62">
        <f>Enteric_19!K97</f>
        <v>0.1</v>
      </c>
      <c r="F98" s="261">
        <f t="shared" si="55"/>
        <v>0.1020187012277521</v>
      </c>
      <c r="G98" s="194">
        <f t="shared" si="56"/>
        <v>37.236825948129514</v>
      </c>
      <c r="H98" s="317">
        <f>Enteric_19!E97</f>
        <v>0</v>
      </c>
      <c r="I98" s="189">
        <f>Enteric_19!G97</f>
        <v>0</v>
      </c>
      <c r="J98" s="196">
        <f t="shared" si="50"/>
        <v>0</v>
      </c>
      <c r="K98" s="199">
        <f>Enteric_19!C97</f>
        <v>0</v>
      </c>
      <c r="L98" s="199">
        <f>Enteric_19!E221</f>
        <v>0</v>
      </c>
      <c r="M98" s="240"/>
      <c r="N98" s="318">
        <f t="shared" si="61"/>
        <v>0</v>
      </c>
      <c r="O98" s="208">
        <f t="shared" si="51"/>
        <v>0</v>
      </c>
      <c r="P98" s="261">
        <f t="shared" si="62"/>
        <v>0</v>
      </c>
      <c r="Q98" s="208">
        <f>G98-O98</f>
        <v>37.236825948129514</v>
      </c>
      <c r="R98" s="212">
        <f>(Q98*1000/B98)/365</f>
        <v>0.35178862492328311</v>
      </c>
      <c r="T98" s="316"/>
      <c r="V98" s="319"/>
      <c r="W98" s="319"/>
    </row>
    <row r="99" spans="1:23" x14ac:dyDescent="0.2">
      <c r="A99" s="271" t="str">
        <f>Enteric_19!A98</f>
        <v>Draft bullocks</v>
      </c>
      <c r="B99" s="208">
        <f>Enteric_19!B98</f>
        <v>290</v>
      </c>
      <c r="C99" s="47">
        <f>Enteric_19!M98</f>
        <v>0.5</v>
      </c>
      <c r="D99" s="208">
        <f>Enteric_19!Q222</f>
        <v>102.37886860201898</v>
      </c>
      <c r="E99" s="62">
        <f>Enteric_19!K98</f>
        <v>0.1</v>
      </c>
      <c r="F99" s="261">
        <f t="shared" si="55"/>
        <v>8.8783842690097772E-2</v>
      </c>
      <c r="G99" s="194">
        <f t="shared" si="56"/>
        <v>32.406102581885683</v>
      </c>
      <c r="H99" s="317">
        <f>Enteric_19!E98</f>
        <v>0</v>
      </c>
      <c r="I99" s="189">
        <f>Enteric_19!G98</f>
        <v>0</v>
      </c>
      <c r="J99" s="196">
        <f t="shared" si="50"/>
        <v>0</v>
      </c>
      <c r="K99" s="199">
        <f>Enteric_19!C98</f>
        <v>0</v>
      </c>
      <c r="L99" s="199">
        <f>Enteric_19!E222</f>
        <v>0</v>
      </c>
      <c r="M99" s="240"/>
      <c r="N99" s="318">
        <f t="shared" si="61"/>
        <v>0</v>
      </c>
      <c r="O99" s="208">
        <f t="shared" si="51"/>
        <v>0</v>
      </c>
      <c r="P99" s="261">
        <f t="shared" si="62"/>
        <v>0</v>
      </c>
      <c r="Q99" s="208">
        <f>G99-O99</f>
        <v>32.406102581885683</v>
      </c>
      <c r="R99" s="212">
        <f>(Q99*1000/B99)/365</f>
        <v>0.30615118168999228</v>
      </c>
      <c r="T99" s="316"/>
      <c r="V99" s="319"/>
      <c r="W99" s="319"/>
    </row>
    <row r="100" spans="1:23" x14ac:dyDescent="0.2">
      <c r="A100" s="271" t="str">
        <f>Enteric_19!A99</f>
        <v>Replacement/growing</v>
      </c>
      <c r="B100" s="208">
        <f>Enteric_19!B99</f>
        <v>140</v>
      </c>
      <c r="C100" s="47">
        <f>Enteric_19!M99</f>
        <v>0.13</v>
      </c>
      <c r="D100" s="208">
        <f>Enteric_19!Q223</f>
        <v>79.695075873067196</v>
      </c>
      <c r="E100" s="62">
        <f>Enteric_19!K99</f>
        <v>0.1</v>
      </c>
      <c r="F100" s="261">
        <f t="shared" si="55"/>
        <v>6.9112260919733076E-2</v>
      </c>
      <c r="G100" s="194">
        <f t="shared" si="56"/>
        <v>25.225975235702574</v>
      </c>
      <c r="H100" s="317">
        <f>Enteric_19!E99</f>
        <v>0</v>
      </c>
      <c r="I100" s="189">
        <f>Enteric_19!G99</f>
        <v>0</v>
      </c>
      <c r="J100" s="196">
        <f t="shared" si="50"/>
        <v>0</v>
      </c>
      <c r="K100" s="199">
        <f>Enteric_19!C99</f>
        <v>0.15</v>
      </c>
      <c r="L100" s="199">
        <f>Enteric_19!E223</f>
        <v>2.6903797378823229</v>
      </c>
      <c r="M100" s="240">
        <f t="shared" ref="M100:M101" si="63">(K100*(268-7.03*(L100/K100))/1000)/6.25</f>
        <v>3.405860870829963E-3</v>
      </c>
      <c r="N100" s="318">
        <f t="shared" si="61"/>
        <v>3.405860870829963E-3</v>
      </c>
      <c r="O100" s="208">
        <f t="shared" si="51"/>
        <v>1.2431392178529366</v>
      </c>
      <c r="P100" s="261">
        <f t="shared" si="62"/>
        <v>4.9280125197836123E-2</v>
      </c>
      <c r="Q100" s="208">
        <f>G100-O100</f>
        <v>23.982836017849639</v>
      </c>
      <c r="R100" s="212">
        <f>(Q100*1000/B100)/365</f>
        <v>0.46933142892073665</v>
      </c>
      <c r="T100" s="316"/>
      <c r="V100" s="319"/>
      <c r="W100" s="319"/>
    </row>
    <row r="101" spans="1:23" x14ac:dyDescent="0.2">
      <c r="A101" s="271" t="str">
        <f>Enteric_19!A100</f>
        <v>Calves on forage</v>
      </c>
      <c r="B101" s="208">
        <f>Enteric_19!B100</f>
        <v>60</v>
      </c>
      <c r="C101" s="47">
        <f>Enteric_19!M100</f>
        <v>0.11</v>
      </c>
      <c r="D101" s="208">
        <f>Enteric_19!Q224</f>
        <v>56.969150230885369</v>
      </c>
      <c r="E101" s="62">
        <f>Enteric_19!K100</f>
        <v>0.1</v>
      </c>
      <c r="F101" s="261">
        <f t="shared" si="55"/>
        <v>4.9404141121635006E-2</v>
      </c>
      <c r="G101" s="194">
        <f t="shared" si="56"/>
        <v>18.032511509396777</v>
      </c>
      <c r="H101" s="317">
        <f>Enteric_19!E100</f>
        <v>0</v>
      </c>
      <c r="I101" s="189">
        <f>Enteric_19!G100</f>
        <v>0</v>
      </c>
      <c r="J101" s="196">
        <f t="shared" si="50"/>
        <v>0</v>
      </c>
      <c r="K101" s="199">
        <f>Enteric_19!C100</f>
        <v>0.22</v>
      </c>
      <c r="L101" s="199">
        <f>Enteric_19!E224</f>
        <v>3.3709393832530443</v>
      </c>
      <c r="M101" s="240">
        <f t="shared" si="63"/>
        <v>5.6419673817169743E-3</v>
      </c>
      <c r="N101" s="318">
        <f t="shared" si="61"/>
        <v>5.6419673817169743E-3</v>
      </c>
      <c r="O101" s="208">
        <f t="shared" si="51"/>
        <v>2.0593180943266955</v>
      </c>
      <c r="P101" s="261">
        <f t="shared" si="62"/>
        <v>0.11420029280189734</v>
      </c>
      <c r="Q101" s="208">
        <f>G101-O101</f>
        <v>15.973193415070082</v>
      </c>
      <c r="R101" s="212">
        <f>(Q101*1000/B101)/365</f>
        <v>0.72936956233196715</v>
      </c>
      <c r="T101" s="316"/>
      <c r="V101" s="319"/>
      <c r="W101" s="319"/>
    </row>
    <row r="102" spans="1:23" x14ac:dyDescent="0.2">
      <c r="A102" s="201" t="str">
        <f>Enteric_19!A101</f>
        <v>India_high productivity systems</v>
      </c>
      <c r="B102" s="210"/>
      <c r="C102" s="126"/>
      <c r="D102" s="210"/>
      <c r="E102" s="202"/>
      <c r="F102" s="324"/>
      <c r="G102" s="203">
        <f>SUMPRODUCT(C103:C106,G103:G106)</f>
        <v>37.160077871317114</v>
      </c>
      <c r="H102" s="325"/>
      <c r="I102" s="204"/>
      <c r="J102" s="205"/>
      <c r="K102" s="206"/>
      <c r="L102" s="206"/>
      <c r="M102" s="326"/>
      <c r="N102" s="327"/>
      <c r="O102" s="210"/>
      <c r="P102" s="211">
        <f>SUMPRODUCT(P103:P106,C103:C106)</f>
        <v>7.9444912566675879E-2</v>
      </c>
      <c r="Q102" s="210">
        <f>SUMPRODUCT(Q103:Q106,C103:C106)</f>
        <v>34.389977269605865</v>
      </c>
      <c r="R102" s="211">
        <f>SUMPRODUCT(R103:R106,C103:C106)</f>
        <v>0.6323310279269434</v>
      </c>
      <c r="T102" s="316"/>
      <c r="V102" s="319"/>
      <c r="W102" s="319"/>
    </row>
    <row r="103" spans="1:23" x14ac:dyDescent="0.2">
      <c r="A103" s="271" t="str">
        <f>Enteric_19!A102</f>
        <v xml:space="preserve"> Mature Females</v>
      </c>
      <c r="B103" s="208">
        <f>Enteric_19!B102</f>
        <v>300</v>
      </c>
      <c r="C103" s="47">
        <f>Enteric_19!M102</f>
        <v>0.09</v>
      </c>
      <c r="D103" s="208">
        <f>Enteric_19!Q226</f>
        <v>139.29034968064829</v>
      </c>
      <c r="E103" s="62">
        <f>Enteric_19!K102</f>
        <v>0.13</v>
      </c>
      <c r="F103" s="261">
        <f t="shared" si="55"/>
        <v>0.15703193893536502</v>
      </c>
      <c r="G103" s="194">
        <f t="shared" si="56"/>
        <v>57.316657711408233</v>
      </c>
      <c r="H103" s="317">
        <f>Enteric_19!E102</f>
        <v>2.5</v>
      </c>
      <c r="I103" s="189">
        <f>Enteric_19!G102</f>
        <v>3.6999999999999998E-2</v>
      </c>
      <c r="J103" s="196">
        <f t="shared" si="50"/>
        <v>1.4498432601880877E-2</v>
      </c>
      <c r="K103" s="199">
        <f>Enteric_19!C102</f>
        <v>0</v>
      </c>
      <c r="L103" s="199">
        <f>Enteric_19!E226</f>
        <v>0</v>
      </c>
      <c r="M103" s="240"/>
      <c r="N103" s="318">
        <f t="shared" ref="N103:N106" si="64">J103+M103</f>
        <v>1.4498432601880877E-2</v>
      </c>
      <c r="O103" s="208">
        <f t="shared" si="51"/>
        <v>5.2919278996865202</v>
      </c>
      <c r="P103" s="261">
        <f t="shared" ref="P103:P106" si="65">N103/F103</f>
        <v>9.2327921951269362E-2</v>
      </c>
      <c r="Q103" s="208">
        <f>G103-O103</f>
        <v>52.024729811721713</v>
      </c>
      <c r="R103" s="212">
        <f>(Q103*1000/B103)/365</f>
        <v>0.47511168777828056</v>
      </c>
      <c r="T103" s="316"/>
      <c r="V103" s="319"/>
      <c r="W103" s="319"/>
    </row>
    <row r="104" spans="1:23" x14ac:dyDescent="0.2">
      <c r="A104" s="271" t="str">
        <f>Enteric_19!A103</f>
        <v xml:space="preserve"> Mature Males</v>
      </c>
      <c r="B104" s="208">
        <f>Enteric_19!B103</f>
        <v>330</v>
      </c>
      <c r="C104" s="47">
        <f>Enteric_19!M103</f>
        <v>0.11</v>
      </c>
      <c r="D104" s="208">
        <f>Enteric_19!Q227</f>
        <v>112.9262995448822</v>
      </c>
      <c r="E104" s="62">
        <f>Enteric_19!K103</f>
        <v>0.13</v>
      </c>
      <c r="F104" s="261">
        <f t="shared" si="55"/>
        <v>0.12730986615357992</v>
      </c>
      <c r="G104" s="194">
        <f t="shared" si="56"/>
        <v>46.468101146056668</v>
      </c>
      <c r="H104" s="317">
        <f>Enteric_19!E103</f>
        <v>0</v>
      </c>
      <c r="I104" s="189">
        <f>Enteric_19!G103</f>
        <v>0</v>
      </c>
      <c r="J104" s="196">
        <f t="shared" si="50"/>
        <v>0</v>
      </c>
      <c r="K104" s="199">
        <f>Enteric_19!C103</f>
        <v>0</v>
      </c>
      <c r="L104" s="199">
        <f>Enteric_19!E227</f>
        <v>0</v>
      </c>
      <c r="M104" s="240"/>
      <c r="N104" s="318">
        <f t="shared" si="64"/>
        <v>0</v>
      </c>
      <c r="O104" s="208">
        <f t="shared" si="51"/>
        <v>0</v>
      </c>
      <c r="P104" s="261">
        <f t="shared" si="65"/>
        <v>0</v>
      </c>
      <c r="Q104" s="208">
        <f>G104-O104</f>
        <v>46.468101146056668</v>
      </c>
      <c r="R104" s="212">
        <f>(Q104*1000/B104)/365</f>
        <v>0.38578747319266637</v>
      </c>
      <c r="T104" s="316"/>
      <c r="V104" s="319"/>
      <c r="W104" s="319"/>
    </row>
    <row r="105" spans="1:23" x14ac:dyDescent="0.2">
      <c r="A105" s="271" t="str">
        <f>Enteric_19!A104</f>
        <v>Replacement/growing</v>
      </c>
      <c r="B105" s="208">
        <f>Enteric_19!B104</f>
        <v>180</v>
      </c>
      <c r="C105" s="47">
        <f>Enteric_19!M104</f>
        <v>0.35</v>
      </c>
      <c r="D105" s="208">
        <f>Enteric_19!Q228</f>
        <v>98.506378021678032</v>
      </c>
      <c r="E105" s="62">
        <f>Enteric_19!K104</f>
        <v>0.13</v>
      </c>
      <c r="F105" s="261">
        <f t="shared" si="55"/>
        <v>0.11105326085912753</v>
      </c>
      <c r="G105" s="194">
        <f t="shared" si="56"/>
        <v>40.534440213581547</v>
      </c>
      <c r="H105" s="317">
        <f>Enteric_19!E104</f>
        <v>0</v>
      </c>
      <c r="I105" s="189">
        <f>Enteric_19!G104</f>
        <v>0</v>
      </c>
      <c r="J105" s="196">
        <f t="shared" si="50"/>
        <v>0</v>
      </c>
      <c r="K105" s="199">
        <f>Enteric_19!C104</f>
        <v>0.33</v>
      </c>
      <c r="L105" s="199">
        <f>Enteric_19!E228</f>
        <v>6.0298844344199587</v>
      </c>
      <c r="M105" s="240">
        <f t="shared" ref="M105:M106" si="66">(K105*(268-7.03*(L105/K105))/1000)/6.25</f>
        <v>7.3679859881644319E-3</v>
      </c>
      <c r="N105" s="318">
        <f t="shared" si="64"/>
        <v>7.3679859881644319E-3</v>
      </c>
      <c r="O105" s="208">
        <f t="shared" si="51"/>
        <v>2.6893148856800178</v>
      </c>
      <c r="P105" s="261">
        <f t="shared" si="65"/>
        <v>6.634641730611418E-2</v>
      </c>
      <c r="Q105" s="208">
        <f>G105-O105</f>
        <v>37.845125327901528</v>
      </c>
      <c r="R105" s="212">
        <f>(Q105*1000/B105)/365</f>
        <v>0.57602930483868386</v>
      </c>
      <c r="T105" s="316"/>
      <c r="V105" s="319"/>
      <c r="W105" s="319"/>
    </row>
    <row r="106" spans="1:23" x14ac:dyDescent="0.2">
      <c r="A106" s="271" t="str">
        <f>Enteric_19!A105</f>
        <v>Calves on forage</v>
      </c>
      <c r="B106" s="208">
        <f>Enteric_19!B105</f>
        <v>90</v>
      </c>
      <c r="C106" s="47">
        <f>Enteric_19!M105</f>
        <v>0.45</v>
      </c>
      <c r="D106" s="208">
        <f>Enteric_19!Q229</f>
        <v>68.601735054701621</v>
      </c>
      <c r="E106" s="62">
        <f>Enteric_19!K105</f>
        <v>0.13</v>
      </c>
      <c r="F106" s="261">
        <f t="shared" si="55"/>
        <v>7.7339625427522693E-2</v>
      </c>
      <c r="G106" s="194">
        <f t="shared" si="56"/>
        <v>28.228963281045782</v>
      </c>
      <c r="H106" s="317">
        <f>Enteric_19!E105</f>
        <v>0</v>
      </c>
      <c r="I106" s="189">
        <f>Enteric_19!G105</f>
        <v>0</v>
      </c>
      <c r="J106" s="196">
        <f t="shared" si="50"/>
        <v>0</v>
      </c>
      <c r="K106" s="199">
        <f>Enteric_19!C105</f>
        <v>0.33</v>
      </c>
      <c r="L106" s="199">
        <f>Enteric_19!E229</f>
        <v>5.259240779614518</v>
      </c>
      <c r="M106" s="240">
        <f t="shared" si="66"/>
        <v>8.2348059710895902E-3</v>
      </c>
      <c r="N106" s="318">
        <f t="shared" si="64"/>
        <v>8.2348059710895902E-3</v>
      </c>
      <c r="O106" s="208">
        <f t="shared" si="51"/>
        <v>3.0057041794477004</v>
      </c>
      <c r="P106" s="261">
        <f t="shared" si="65"/>
        <v>0.10647589674204819</v>
      </c>
      <c r="Q106" s="208">
        <f>G106-O106</f>
        <v>25.223259101598082</v>
      </c>
      <c r="R106" s="212">
        <f>(Q106*1000/B106)/365</f>
        <v>0.76783132729370107</v>
      </c>
      <c r="T106" s="316"/>
      <c r="V106" s="319"/>
      <c r="W106" s="319"/>
    </row>
    <row r="107" spans="1:23" x14ac:dyDescent="0.2">
      <c r="A107" s="190" t="str">
        <f>Enteric_19!A106</f>
        <v>Middle East</v>
      </c>
      <c r="B107" s="209"/>
      <c r="C107" s="278"/>
      <c r="D107" s="209"/>
      <c r="E107" s="192"/>
      <c r="F107" s="320"/>
      <c r="G107" s="195">
        <f>SUMPRODUCT(C108:C111,G108:G111)</f>
        <v>52.112995029819245</v>
      </c>
      <c r="H107" s="321"/>
      <c r="I107" s="193"/>
      <c r="J107" s="197"/>
      <c r="K107" s="200"/>
      <c r="L107" s="200"/>
      <c r="M107" s="322"/>
      <c r="N107" s="323"/>
      <c r="O107" s="209"/>
      <c r="P107" s="191">
        <f>SUMPRODUCT(P108:P111,C108:C111)</f>
        <v>6.9234478651502257E-2</v>
      </c>
      <c r="Q107" s="209">
        <f>SUMPRODUCT(Q108:Q111,C108:C111)</f>
        <v>48.700968691771834</v>
      </c>
      <c r="R107" s="191">
        <f>SUMPRODUCT(R108:R111,C108:C111)</f>
        <v>0.55020762097142573</v>
      </c>
      <c r="T107" s="316"/>
      <c r="V107" s="319"/>
      <c r="W107" s="319"/>
    </row>
    <row r="108" spans="1:23" x14ac:dyDescent="0.2">
      <c r="A108" s="271" t="str">
        <f>Enteric_19!A107</f>
        <v xml:space="preserve"> Mature Females</v>
      </c>
      <c r="B108" s="208">
        <f>Enteric_19!B107</f>
        <v>372.02247191011236</v>
      </c>
      <c r="C108" s="47">
        <f>Enteric_19!M107</f>
        <v>0.26700000000000002</v>
      </c>
      <c r="D108" s="208">
        <f>Enteric_19!Q231</f>
        <v>153.89485767415286</v>
      </c>
      <c r="E108" s="62">
        <f>Enteric_19!K107</f>
        <v>0.12494382022471909</v>
      </c>
      <c r="F108" s="261">
        <f t="shared" si="55"/>
        <v>0.16674871701461755</v>
      </c>
      <c r="G108" s="194">
        <f t="shared" si="56"/>
        <v>60.863281710335407</v>
      </c>
      <c r="H108" s="317">
        <f>Enteric_19!E107</f>
        <v>2.4235955056179774</v>
      </c>
      <c r="I108" s="189">
        <f>Enteric_19!G107</f>
        <v>3.2000000000000001E-2</v>
      </c>
      <c r="J108" s="196">
        <f t="shared" si="50"/>
        <v>1.2155964918460075E-2</v>
      </c>
      <c r="K108" s="199">
        <f>Enteric_19!C107</f>
        <v>0</v>
      </c>
      <c r="L108" s="199">
        <f>Enteric_19!E231</f>
        <v>0</v>
      </c>
      <c r="M108" s="240"/>
      <c r="N108" s="318">
        <f t="shared" ref="N108:N111" si="67">J108+M108</f>
        <v>1.2155964918460075E-2</v>
      </c>
      <c r="O108" s="208">
        <f t="shared" si="51"/>
        <v>4.4369271952379279</v>
      </c>
      <c r="P108" s="261">
        <f t="shared" ref="P108:P111" si="68">N108/F108</f>
        <v>7.2899900737433909E-2</v>
      </c>
      <c r="Q108" s="208">
        <f>G108-O108</f>
        <v>56.426354515097479</v>
      </c>
      <c r="R108" s="212">
        <f>(Q108*1000/B108)/365</f>
        <v>0.41554681173536745</v>
      </c>
      <c r="T108" s="316"/>
      <c r="V108" s="319"/>
      <c r="W108" s="319"/>
    </row>
    <row r="109" spans="1:23" x14ac:dyDescent="0.2">
      <c r="A109" s="271" t="str">
        <f>Enteric_19!A108</f>
        <v xml:space="preserve"> Mature Males</v>
      </c>
      <c r="B109" s="208">
        <f>Enteric_19!B108</f>
        <v>518.67052023121391</v>
      </c>
      <c r="C109" s="47">
        <f>Enteric_19!M108</f>
        <v>8.6500000000000007E-2</v>
      </c>
      <c r="D109" s="208">
        <f>Enteric_19!Q232</f>
        <v>164.11163555523405</v>
      </c>
      <c r="E109" s="62">
        <f>Enteric_19!K108</f>
        <v>0.12915606936416185</v>
      </c>
      <c r="F109" s="261">
        <f t="shared" si="55"/>
        <v>0.18381366968227952</v>
      </c>
      <c r="G109" s="194">
        <f t="shared" si="56"/>
        <v>67.09198943403203</v>
      </c>
      <c r="H109" s="317">
        <f>Enteric_19!E108</f>
        <v>0</v>
      </c>
      <c r="I109" s="189">
        <f>Enteric_19!G108</f>
        <v>0</v>
      </c>
      <c r="J109" s="196">
        <f t="shared" si="50"/>
        <v>0</v>
      </c>
      <c r="K109" s="199">
        <f>Enteric_19!C108</f>
        <v>0</v>
      </c>
      <c r="L109" s="199">
        <f>Enteric_19!E232</f>
        <v>0</v>
      </c>
      <c r="M109" s="240"/>
      <c r="N109" s="318">
        <f t="shared" si="67"/>
        <v>0</v>
      </c>
      <c r="O109" s="208">
        <f t="shared" si="51"/>
        <v>0</v>
      </c>
      <c r="P109" s="261">
        <f t="shared" si="68"/>
        <v>0</v>
      </c>
      <c r="Q109" s="208">
        <f>G109-O109</f>
        <v>67.09198943403203</v>
      </c>
      <c r="R109" s="212">
        <f>(Q109*1000/B109)/365</f>
        <v>0.3543939023184482</v>
      </c>
      <c r="T109" s="316"/>
      <c r="V109" s="319"/>
      <c r="W109" s="319"/>
    </row>
    <row r="110" spans="1:23" x14ac:dyDescent="0.2">
      <c r="A110" s="271" t="str">
        <f>Enteric_19!A109</f>
        <v>Replacement/growing</v>
      </c>
      <c r="B110" s="208">
        <f>Enteric_19!B109</f>
        <v>249.5</v>
      </c>
      <c r="C110" s="47">
        <f>Enteric_19!M109</f>
        <v>0.42</v>
      </c>
      <c r="D110" s="208">
        <f>Enteric_19!Q233</f>
        <v>124.36739959287011</v>
      </c>
      <c r="E110" s="62">
        <f>Enteric_19!K109</f>
        <v>0.12659999999999999</v>
      </c>
      <c r="F110" s="261">
        <f t="shared" si="55"/>
        <v>0.13654124911399335</v>
      </c>
      <c r="G110" s="194">
        <f>F110*365</f>
        <v>49.837555926607571</v>
      </c>
      <c r="H110" s="317">
        <f>Enteric_19!E109</f>
        <v>0</v>
      </c>
      <c r="I110" s="189">
        <f>Enteric_19!G109</f>
        <v>0</v>
      </c>
      <c r="J110" s="196">
        <f t="shared" si="50"/>
        <v>0</v>
      </c>
      <c r="K110" s="240">
        <f>Enteric_19!C109</f>
        <v>0.33250000000000002</v>
      </c>
      <c r="L110" s="199">
        <f>Enteric_19!E233</f>
        <v>5.9570218937804675</v>
      </c>
      <c r="M110" s="240">
        <f t="shared" ref="M110:M111" si="69">(K110*(268-7.03*(L110/K110))/1000)/6.25</f>
        <v>7.5571417738757307E-3</v>
      </c>
      <c r="N110" s="318">
        <f t="shared" si="67"/>
        <v>7.5571417738757307E-3</v>
      </c>
      <c r="O110" s="208">
        <f>N110*365</f>
        <v>2.7583567474646418</v>
      </c>
      <c r="P110" s="261">
        <f t="shared" si="68"/>
        <v>5.5346950631501447E-2</v>
      </c>
      <c r="Q110" s="208">
        <f>G110-O110</f>
        <v>47.079199179142933</v>
      </c>
      <c r="R110" s="212">
        <f>(Q110*1000/B110)/365</f>
        <v>0.51697037010067182</v>
      </c>
      <c r="T110" s="316"/>
      <c r="V110" s="319"/>
      <c r="W110" s="319"/>
    </row>
    <row r="111" spans="1:23" x14ac:dyDescent="0.2">
      <c r="A111" s="271" t="str">
        <f>Enteric_19!A110</f>
        <v>Calves on forage</v>
      </c>
      <c r="B111" s="208">
        <f>Enteric_19!B110</f>
        <v>115.30463576158941</v>
      </c>
      <c r="C111" s="47">
        <f>Enteric_19!M110</f>
        <v>0.22649999999999998</v>
      </c>
      <c r="D111" s="208">
        <f>Enteric_19!Q234</f>
        <v>99.789904910528591</v>
      </c>
      <c r="E111" s="62">
        <f>Enteric_19!K110</f>
        <v>0.12757615894039737</v>
      </c>
      <c r="F111" s="261">
        <f t="shared" si="55"/>
        <v>0.11040271236433807</v>
      </c>
      <c r="G111" s="194">
        <f t="shared" si="56"/>
        <v>40.2969900129834</v>
      </c>
      <c r="H111" s="317">
        <f>Enteric_19!E110</f>
        <v>0</v>
      </c>
      <c r="I111" s="189">
        <f>Enteric_19!G110</f>
        <v>0</v>
      </c>
      <c r="J111" s="196">
        <f t="shared" si="50"/>
        <v>0</v>
      </c>
      <c r="K111" s="240">
        <f>Enteric_19!C110</f>
        <v>0.5136423841059603</v>
      </c>
      <c r="L111" s="199">
        <f>Enteric_19!E234</f>
        <v>8.0869280415343479</v>
      </c>
      <c r="M111" s="240">
        <f t="shared" si="69"/>
        <v>1.2928808769345742E-2</v>
      </c>
      <c r="N111" s="318">
        <f t="shared" si="67"/>
        <v>1.2928808769345742E-2</v>
      </c>
      <c r="O111" s="208">
        <f t="shared" si="51"/>
        <v>4.7190152008111959</v>
      </c>
      <c r="P111" s="261">
        <f t="shared" si="68"/>
        <v>0.11710589796634348</v>
      </c>
      <c r="Q111" s="208">
        <f>G111-O111</f>
        <v>35.577974812172201</v>
      </c>
      <c r="R111" s="212">
        <f>(Q111*1000/B111)/365</f>
        <v>0.84535979799229455</v>
      </c>
      <c r="T111" s="316"/>
      <c r="V111" s="319"/>
      <c r="W111" s="319"/>
    </row>
    <row r="112" spans="1:23" x14ac:dyDescent="0.2">
      <c r="A112" s="201" t="str">
        <f>Enteric_19!A111</f>
        <v>Middle East_low productivity systems</v>
      </c>
      <c r="B112" s="210"/>
      <c r="C112" s="126"/>
      <c r="D112" s="210"/>
      <c r="E112" s="202"/>
      <c r="F112" s="324"/>
      <c r="G112" s="203">
        <f>SUMPRODUCT(C113:C116,G113:G116)</f>
        <v>46.073939779307828</v>
      </c>
      <c r="H112" s="325"/>
      <c r="I112" s="204"/>
      <c r="J112" s="205"/>
      <c r="K112" s="206"/>
      <c r="L112" s="206"/>
      <c r="M112" s="326"/>
      <c r="N112" s="327"/>
      <c r="O112" s="210"/>
      <c r="P112" s="211">
        <f>SUMPRODUCT(P113:P116,C113:C116)</f>
        <v>6.8216573115014362E-2</v>
      </c>
      <c r="Q112" s="210">
        <f>SUMPRODUCT(Q113:Q116,C113:C116)</f>
        <v>43.112883047967969</v>
      </c>
      <c r="R112" s="211">
        <f>SUMPRODUCT(R113:R116,C113:C116)</f>
        <v>0.58533409925885727</v>
      </c>
      <c r="T112" s="316"/>
      <c r="V112" s="319"/>
      <c r="W112" s="319"/>
    </row>
    <row r="113" spans="1:23" x14ac:dyDescent="0.2">
      <c r="A113" s="271" t="str">
        <f>Enteric_19!A112</f>
        <v xml:space="preserve"> Mature Females</v>
      </c>
      <c r="B113" s="208">
        <f>Enteric_19!B112</f>
        <v>330</v>
      </c>
      <c r="C113" s="47">
        <f>Enteric_19!M112</f>
        <v>0.3</v>
      </c>
      <c r="D113" s="208">
        <f>Enteric_19!Q236</f>
        <v>146.01393298165567</v>
      </c>
      <c r="E113" s="62">
        <f>Enteric_19!K112</f>
        <v>0.12</v>
      </c>
      <c r="F113" s="261">
        <f>D113/18.45*(E113/6.25)</f>
        <v>0.15194945871261728</v>
      </c>
      <c r="G113" s="194">
        <f>F113*365</f>
        <v>55.461552430105307</v>
      </c>
      <c r="H113" s="317">
        <f>Enteric_19!E112</f>
        <v>2.2999999999999998</v>
      </c>
      <c r="I113" s="189">
        <f>Enteric_19!G112</f>
        <v>3.2000000000000001E-2</v>
      </c>
      <c r="J113" s="196">
        <f t="shared" si="50"/>
        <v>1.1536050156739811E-2</v>
      </c>
      <c r="K113" s="199">
        <f>Enteric_19!C112</f>
        <v>0</v>
      </c>
      <c r="L113" s="199">
        <f>Enteric_19!E236</f>
        <v>0</v>
      </c>
      <c r="M113" s="240"/>
      <c r="N113" s="318">
        <f t="shared" ref="N113:N116" si="70">J113+M113</f>
        <v>1.1536050156739811E-2</v>
      </c>
      <c r="O113" s="208">
        <f t="shared" si="51"/>
        <v>4.2106583072100312</v>
      </c>
      <c r="P113" s="261">
        <f t="shared" ref="P113:P116" si="71">N113/F113</f>
        <v>7.5920310967069624E-2</v>
      </c>
      <c r="Q113" s="208">
        <f>G113-O113</f>
        <v>51.250894122895275</v>
      </c>
      <c r="R113" s="212">
        <f>(Q113*1000/B113)/365</f>
        <v>0.42549517744205295</v>
      </c>
      <c r="T113" s="316"/>
      <c r="V113" s="319"/>
      <c r="W113" s="319"/>
    </row>
    <row r="114" spans="1:23" x14ac:dyDescent="0.2">
      <c r="A114" s="271" t="str">
        <f>Enteric_19!A113</f>
        <v xml:space="preserve"> Mature Males</v>
      </c>
      <c r="B114" s="208">
        <f>Enteric_19!B113</f>
        <v>450</v>
      </c>
      <c r="C114" s="47">
        <f>Enteric_19!M113</f>
        <v>7.0000000000000007E-2</v>
      </c>
      <c r="D114" s="208">
        <f>Enteric_19!Q237</f>
        <v>187.32079906595328</v>
      </c>
      <c r="E114" s="62">
        <f>Enteric_19!K113</f>
        <v>0.12</v>
      </c>
      <c r="F114" s="261">
        <f t="shared" si="55"/>
        <v>0.19493546569465056</v>
      </c>
      <c r="G114" s="194">
        <f t="shared" si="56"/>
        <v>71.15144497854746</v>
      </c>
      <c r="H114" s="317">
        <f>Enteric_19!E113</f>
        <v>0</v>
      </c>
      <c r="I114" s="189">
        <f>Enteric_19!G113</f>
        <v>0</v>
      </c>
      <c r="J114" s="196">
        <f t="shared" si="50"/>
        <v>0</v>
      </c>
      <c r="K114" s="199">
        <f>Enteric_19!C113</f>
        <v>0</v>
      </c>
      <c r="L114" s="199">
        <f>Enteric_19!E237</f>
        <v>0</v>
      </c>
      <c r="M114" s="240"/>
      <c r="N114" s="318">
        <f t="shared" si="70"/>
        <v>0</v>
      </c>
      <c r="O114" s="208">
        <f t="shared" si="51"/>
        <v>0</v>
      </c>
      <c r="P114" s="261">
        <f t="shared" si="71"/>
        <v>0</v>
      </c>
      <c r="Q114" s="208">
        <f>G114-O114</f>
        <v>71.15144497854746</v>
      </c>
      <c r="R114" s="212">
        <f>(Q114*1000/B114)/365</f>
        <v>0.43318992376589011</v>
      </c>
      <c r="T114" s="316"/>
      <c r="V114" s="319"/>
      <c r="W114" s="319"/>
    </row>
    <row r="115" spans="1:23" x14ac:dyDescent="0.2">
      <c r="A115" s="271" t="str">
        <f>Enteric_19!A114</f>
        <v>Replacement/growing</v>
      </c>
      <c r="B115" s="208">
        <f>Enteric_19!B114</f>
        <v>200</v>
      </c>
      <c r="C115" s="47">
        <f>Enteric_19!M114</f>
        <v>0.42</v>
      </c>
      <c r="D115" s="208">
        <f>Enteric_19!Q238</f>
        <v>109.30779839061952</v>
      </c>
      <c r="E115" s="62">
        <f>Enteric_19!K114</f>
        <v>0.12</v>
      </c>
      <c r="F115" s="261">
        <f t="shared" si="55"/>
        <v>0.11375120482926258</v>
      </c>
      <c r="G115" s="194">
        <f t="shared" si="56"/>
        <v>41.519189762680845</v>
      </c>
      <c r="H115" s="317">
        <f>Enteric_19!E114</f>
        <v>0</v>
      </c>
      <c r="I115" s="189">
        <f>Enteric_19!G114</f>
        <v>0</v>
      </c>
      <c r="J115" s="196">
        <f t="shared" si="50"/>
        <v>0</v>
      </c>
      <c r="K115" s="240">
        <f>Enteric_19!C114</f>
        <v>0.25</v>
      </c>
      <c r="L115" s="199">
        <f>Enteric_19!E238</f>
        <v>4.1973150604654883</v>
      </c>
      <c r="M115" s="240">
        <f t="shared" ref="M115:M116" si="72">(K115*(268-7.03*(L115/K115))/1000)/6.25</f>
        <v>5.998860019988418E-3</v>
      </c>
      <c r="N115" s="318">
        <f t="shared" si="70"/>
        <v>5.998860019988418E-3</v>
      </c>
      <c r="O115" s="208">
        <f t="shared" si="51"/>
        <v>2.1895839072957726</v>
      </c>
      <c r="P115" s="261">
        <f t="shared" si="71"/>
        <v>5.273667236309753E-2</v>
      </c>
      <c r="Q115" s="208">
        <f>G115-O115</f>
        <v>39.329605855385076</v>
      </c>
      <c r="R115" s="212">
        <f>(Q115*1000/B115)/365</f>
        <v>0.5387617240463709</v>
      </c>
      <c r="T115" s="316"/>
      <c r="V115" s="319"/>
      <c r="W115" s="319"/>
    </row>
    <row r="116" spans="1:23" x14ac:dyDescent="0.2">
      <c r="A116" s="271" t="str">
        <f>Enteric_19!A115</f>
        <v>Calves on forage</v>
      </c>
      <c r="B116" s="208">
        <f>Enteric_19!B115</f>
        <v>85</v>
      </c>
      <c r="C116" s="47">
        <f>Enteric_19!M115</f>
        <v>0.21</v>
      </c>
      <c r="D116" s="208">
        <f>Enteric_19!Q239</f>
        <v>87.967631255971838</v>
      </c>
      <c r="E116" s="62">
        <f>Enteric_19!K115</f>
        <v>0.12</v>
      </c>
      <c r="F116" s="261">
        <f t="shared" si="55"/>
        <v>9.1543551225726785E-2</v>
      </c>
      <c r="G116" s="194">
        <f t="shared" si="56"/>
        <v>33.413396197390277</v>
      </c>
      <c r="H116" s="317">
        <f>Enteric_19!E115</f>
        <v>0</v>
      </c>
      <c r="I116" s="189">
        <f>Enteric_19!G115</f>
        <v>0</v>
      </c>
      <c r="J116" s="196">
        <f t="shared" si="50"/>
        <v>0</v>
      </c>
      <c r="K116" s="240">
        <f>Enteric_19!C115</f>
        <v>0.4</v>
      </c>
      <c r="L116" s="199">
        <f>Enteric_19!E239</f>
        <v>6.2223635946513509</v>
      </c>
      <c r="M116" s="240">
        <f t="shared" si="72"/>
        <v>1.0153085428736162E-2</v>
      </c>
      <c r="N116" s="318">
        <f t="shared" si="70"/>
        <v>1.0153085428736162E-2</v>
      </c>
      <c r="O116" s="208">
        <f t="shared" si="51"/>
        <v>3.7058761814886991</v>
      </c>
      <c r="P116" s="261">
        <f t="shared" si="71"/>
        <v>0.11090989253520249</v>
      </c>
      <c r="Q116" s="208">
        <f>G116-O116</f>
        <v>29.707520015901579</v>
      </c>
      <c r="R116" s="212">
        <f>(Q116*1000/B116)/365</f>
        <v>0.95753489172930162</v>
      </c>
      <c r="T116" s="316"/>
      <c r="V116" s="319"/>
      <c r="W116" s="319"/>
    </row>
    <row r="117" spans="1:23" x14ac:dyDescent="0.2">
      <c r="A117" s="201" t="str">
        <f>Enteric_19!A116</f>
        <v>Middle East_high productivity systems</v>
      </c>
      <c r="B117" s="210"/>
      <c r="C117" s="126"/>
      <c r="D117" s="210"/>
      <c r="E117" s="202"/>
      <c r="F117" s="324"/>
      <c r="G117" s="203">
        <f>SUMPRODUCT(C118:C121,G118:G121)</f>
        <v>64.792038706942165</v>
      </c>
      <c r="H117" s="325"/>
      <c r="I117" s="204"/>
      <c r="J117" s="205"/>
      <c r="K117" s="206"/>
      <c r="L117" s="206"/>
      <c r="M117" s="326"/>
      <c r="N117" s="327"/>
      <c r="O117" s="210"/>
      <c r="P117" s="211">
        <f>SUMPRODUCT(P118:P121,C118:C121)</f>
        <v>7.078671804156321E-2</v>
      </c>
      <c r="Q117" s="210">
        <f>SUMPRODUCT(Q118:Q121,C118:C121)</f>
        <v>60.481690986917812</v>
      </c>
      <c r="R117" s="211">
        <f>SUMPRODUCT(R118:R121,C118:C121)</f>
        <v>0.51243331340124532</v>
      </c>
      <c r="T117" s="316"/>
      <c r="V117" s="319"/>
      <c r="W117" s="319"/>
    </row>
    <row r="118" spans="1:23" x14ac:dyDescent="0.2">
      <c r="A118" s="271" t="str">
        <f>Enteric_19!A117</f>
        <v xml:space="preserve"> Mature Females</v>
      </c>
      <c r="B118" s="208">
        <f>Enteric_19!B117</f>
        <v>500</v>
      </c>
      <c r="C118" s="47">
        <f>Enteric_19!M117</f>
        <v>0.2</v>
      </c>
      <c r="D118" s="208">
        <f>Enteric_19!Q241</f>
        <v>173.7612932520467</v>
      </c>
      <c r="E118" s="62">
        <f>Enteric_19!K117</f>
        <v>0.14000000000000001</v>
      </c>
      <c r="F118" s="261">
        <f t="shared" si="55"/>
        <v>0.21096222053365024</v>
      </c>
      <c r="G118" s="194">
        <f t="shared" si="56"/>
        <v>77.001210494782342</v>
      </c>
      <c r="H118" s="317">
        <f>Enteric_19!E117</f>
        <v>2.8</v>
      </c>
      <c r="I118" s="189">
        <f>Enteric_19!G117</f>
        <v>3.3000000000000002E-2</v>
      </c>
      <c r="J118" s="196">
        <f t="shared" si="50"/>
        <v>1.4482758620689654E-2</v>
      </c>
      <c r="K118" s="199">
        <f>Enteric_19!C117</f>
        <v>0</v>
      </c>
      <c r="L118" s="199">
        <f>Enteric_19!E241</f>
        <v>0</v>
      </c>
      <c r="M118" s="240"/>
      <c r="N118" s="318">
        <f t="shared" ref="N118:N121" si="73">J118+M118</f>
        <v>1.4482758620689654E-2</v>
      </c>
      <c r="O118" s="208">
        <f t="shared" si="51"/>
        <v>5.2862068965517235</v>
      </c>
      <c r="P118" s="261">
        <f t="shared" ref="P118:P121" si="74">N118/F118</f>
        <v>6.8650958375646845E-2</v>
      </c>
      <c r="Q118" s="208">
        <f>G118-O118</f>
        <v>71.715003598230624</v>
      </c>
      <c r="R118" s="212">
        <f>(Q118*1000/B118)/365</f>
        <v>0.39295892382592124</v>
      </c>
      <c r="T118" s="316"/>
      <c r="V118" s="319"/>
      <c r="W118" s="319"/>
    </row>
    <row r="119" spans="1:23" x14ac:dyDescent="0.2">
      <c r="A119" s="271" t="str">
        <f>Enteric_19!A118</f>
        <v xml:space="preserve"> Mature Males</v>
      </c>
      <c r="B119" s="208">
        <f>Enteric_19!B118</f>
        <v>600</v>
      </c>
      <c r="C119" s="47">
        <f>Enteric_19!M118</f>
        <v>0.12</v>
      </c>
      <c r="D119" s="208">
        <f>Enteric_19!Q242</f>
        <v>164.39633808461156</v>
      </c>
      <c r="E119" s="62">
        <f>Enteric_19!K118</f>
        <v>0.14000000000000001</v>
      </c>
      <c r="F119" s="261">
        <f t="shared" si="55"/>
        <v>0.19959230206478587</v>
      </c>
      <c r="G119" s="194">
        <f t="shared" si="56"/>
        <v>72.851190253646848</v>
      </c>
      <c r="H119" s="317">
        <f>Enteric_19!E118</f>
        <v>0</v>
      </c>
      <c r="I119" s="189">
        <f>Enteric_19!G118</f>
        <v>0</v>
      </c>
      <c r="J119" s="196">
        <f t="shared" si="50"/>
        <v>0</v>
      </c>
      <c r="K119" s="199">
        <f>Enteric_19!C118</f>
        <v>0</v>
      </c>
      <c r="L119" s="199">
        <f>Enteric_19!E242</f>
        <v>0</v>
      </c>
      <c r="M119" s="240"/>
      <c r="N119" s="318">
        <f t="shared" si="73"/>
        <v>0</v>
      </c>
      <c r="O119" s="208">
        <f t="shared" si="51"/>
        <v>0</v>
      </c>
      <c r="P119" s="261">
        <f t="shared" si="74"/>
        <v>0</v>
      </c>
      <c r="Q119" s="208">
        <f>G119-O119</f>
        <v>72.851190253646848</v>
      </c>
      <c r="R119" s="212">
        <f>(Q119*1000/B119)/365</f>
        <v>0.33265383677464316</v>
      </c>
      <c r="T119" s="316"/>
      <c r="V119" s="319"/>
      <c r="W119" s="319"/>
    </row>
    <row r="120" spans="1:23" x14ac:dyDescent="0.2">
      <c r="A120" s="271" t="str">
        <f>Enteric_19!A119</f>
        <v>Replacement/growing</v>
      </c>
      <c r="B120" s="208">
        <f>Enteric_19!B119</f>
        <v>350</v>
      </c>
      <c r="C120" s="47">
        <f>Enteric_19!M119</f>
        <v>0.42</v>
      </c>
      <c r="D120" s="208">
        <f>Enteric_19!Q243</f>
        <v>147.60102469289106</v>
      </c>
      <c r="E120" s="62">
        <f>Enteric_19!K119</f>
        <v>0.14000000000000001</v>
      </c>
      <c r="F120" s="261">
        <f t="shared" si="55"/>
        <v>0.17920124407158591</v>
      </c>
      <c r="G120" s="194">
        <f t="shared" si="56"/>
        <v>65.408454086128856</v>
      </c>
      <c r="H120" s="317">
        <f>Enteric_19!E119</f>
        <v>0</v>
      </c>
      <c r="I120" s="189">
        <f>Enteric_19!G119</f>
        <v>0</v>
      </c>
      <c r="J120" s="196">
        <f t="shared" si="50"/>
        <v>0</v>
      </c>
      <c r="K120" s="240">
        <f>Enteric_19!C119</f>
        <v>0.5</v>
      </c>
      <c r="L120" s="199">
        <f>Enteric_19!E243</f>
        <v>9.7554556517210269</v>
      </c>
      <c r="M120" s="240">
        <f t="shared" ref="M120:M121" si="75">(K120*(268-7.03*(L120/K120))/1000)/6.25</f>
        <v>1.0467063482944189E-2</v>
      </c>
      <c r="N120" s="318">
        <f t="shared" si="73"/>
        <v>1.0467063482944189E-2</v>
      </c>
      <c r="O120" s="208">
        <f t="shared" si="51"/>
        <v>3.8204781712746287</v>
      </c>
      <c r="P120" s="261">
        <f t="shared" si="74"/>
        <v>5.8409546971464596E-2</v>
      </c>
      <c r="Q120" s="208">
        <f>G120-O120</f>
        <v>61.587975914854226</v>
      </c>
      <c r="R120" s="212">
        <f>(Q120*1000/B120)/365</f>
        <v>0.48209765882469069</v>
      </c>
      <c r="T120" s="316"/>
      <c r="V120" s="319"/>
      <c r="W120" s="319"/>
    </row>
    <row r="121" spans="1:23" x14ac:dyDescent="0.2">
      <c r="A121" s="271" t="str">
        <f>Enteric_19!A120</f>
        <v>Calves on forage</v>
      </c>
      <c r="B121" s="208">
        <f>Enteric_19!B120</f>
        <v>165</v>
      </c>
      <c r="C121" s="47">
        <f>Enteric_19!M120</f>
        <v>0.26</v>
      </c>
      <c r="D121" s="208">
        <f>Enteric_19!Q244</f>
        <v>114.37603562130698</v>
      </c>
      <c r="E121" s="62">
        <f>Enteric_19!K120</f>
        <v>0.14000000000000001</v>
      </c>
      <c r="F121" s="261">
        <f t="shared" si="55"/>
        <v>0.13886304595757598</v>
      </c>
      <c r="G121" s="194">
        <f t="shared" si="56"/>
        <v>50.685011774515232</v>
      </c>
      <c r="H121" s="317">
        <f>Enteric_19!E120</f>
        <v>0</v>
      </c>
      <c r="I121" s="189">
        <f>Enteric_19!G120</f>
        <v>0</v>
      </c>
      <c r="J121" s="196">
        <f t="shared" si="50"/>
        <v>0</v>
      </c>
      <c r="K121" s="240">
        <f>Enteric_19!C120</f>
        <v>0.7</v>
      </c>
      <c r="L121" s="199">
        <f>Enteric_19!E244</f>
        <v>11.242020979084549</v>
      </c>
      <c r="M121" s="240">
        <f t="shared" si="75"/>
        <v>1.7370974802725699E-2</v>
      </c>
      <c r="N121" s="318">
        <f t="shared" si="73"/>
        <v>1.7370974802725699E-2</v>
      </c>
      <c r="O121" s="208">
        <f t="shared" si="51"/>
        <v>6.34040580299488</v>
      </c>
      <c r="P121" s="261">
        <f t="shared" si="74"/>
        <v>0.12509429476314887</v>
      </c>
      <c r="Q121" s="208">
        <f>G121-O121</f>
        <v>44.344605971520352</v>
      </c>
      <c r="R121" s="212">
        <f>(Q121*1000/B121)/365</f>
        <v>0.73631558275666842</v>
      </c>
      <c r="T121" s="316"/>
      <c r="V121" s="319"/>
      <c r="W121" s="319"/>
    </row>
    <row r="122" spans="1:23" ht="76.5" x14ac:dyDescent="0.2">
      <c r="B122" s="331" t="str">
        <f t="shared" ref="B122:O122" si="76">B4</f>
        <v>Weight, kg</v>
      </c>
      <c r="C122" s="331" t="str">
        <f t="shared" si="76"/>
        <v>Day Weighted Population Mix %</v>
      </c>
      <c r="D122" s="331" t="str">
        <f t="shared" si="76"/>
        <v>GE, MJ/day/hd</v>
      </c>
      <c r="E122" s="331" t="str">
        <f t="shared" si="76"/>
        <v>CP, %</v>
      </c>
      <c r="F122" s="331" t="str">
        <f t="shared" si="76"/>
        <v>Nintake, kg N/day/hd</v>
      </c>
      <c r="G122" s="331" t="str">
        <f t="shared" si="76"/>
        <v>Nintake, kgN/head/yr</v>
      </c>
      <c r="H122" s="331" t="str">
        <f t="shared" si="76"/>
        <v>Milk, kg/hd/day</v>
      </c>
      <c r="I122" s="331" t="str">
        <f t="shared" si="76"/>
        <v>Milk PR%</v>
      </c>
      <c r="J122" s="331" t="str">
        <f t="shared" si="76"/>
        <v>N retention, kgN/d/hd</v>
      </c>
      <c r="K122" s="331" t="str">
        <f t="shared" si="76"/>
        <v>Weight gain, kg/hd/day</v>
      </c>
      <c r="L122" s="331" t="str">
        <f t="shared" si="76"/>
        <v>Neg, MJ/day</v>
      </c>
      <c r="M122" s="331" t="str">
        <f t="shared" si="76"/>
        <v>N retention due to growth, kgN/day/hd</v>
      </c>
      <c r="N122" s="331" t="str">
        <f t="shared" si="76"/>
        <v>N retention due to milk and growth, kgN/day/hd</v>
      </c>
      <c r="O122" s="331" t="str">
        <f t="shared" si="76"/>
        <v>N retention, kg/hd/yr</v>
      </c>
      <c r="P122" s="331" t="str">
        <f>P4</f>
        <v>Retention_frac</v>
      </c>
      <c r="Q122" s="331" t="str">
        <f>Q4</f>
        <v>Nex kg/hd/yr</v>
      </c>
      <c r="R122" s="214" t="str">
        <f>R4</f>
        <v>kg N(1000 kg animal mass-1) day-1</v>
      </c>
    </row>
    <row r="123" spans="1:23" x14ac:dyDescent="0.2">
      <c r="G123" s="45"/>
      <c r="Q123" s="45"/>
    </row>
    <row r="124" spans="1:23" x14ac:dyDescent="0.2">
      <c r="G124" s="45"/>
    </row>
  </sheetData>
  <phoneticPr fontId="3" type="noConversion"/>
  <pageMargins left="3.937007874015748E-2" right="3.937007874015748E-2" top="0.74803149606299213" bottom="0.74803149606299213" header="0.31496062992125984" footer="0.31496062992125984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FC8FEB8568A4E8A46DD6F55BF44C0" ma:contentTypeVersion="7" ma:contentTypeDescription="Create a new document." ma:contentTypeScope="" ma:versionID="49bbd94320cb96796bb1eb24ba395277">
  <xsd:schema xmlns:xsd="http://www.w3.org/2001/XMLSchema" xmlns:xs="http://www.w3.org/2001/XMLSchema" xmlns:p="http://schemas.microsoft.com/office/2006/metadata/properties" xmlns:ns2="20b51df3-9bd5-4eb3-955b-252f8063384c" xmlns:ns3="4faa9c72-9366-46b0-9f83-a55781906e46" targetNamespace="http://schemas.microsoft.com/office/2006/metadata/properties" ma:root="true" ma:fieldsID="5125ca13a4f9b8de077870b4d81eeaeb" ns2:_="" ns3:_="">
    <xsd:import namespace="20b51df3-9bd5-4eb3-955b-252f8063384c"/>
    <xsd:import namespace="4faa9c72-9366-46b0-9f83-a55781906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51df3-9bd5-4eb3-955b-252f80633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a9c72-9366-46b0-9f83-a55781906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CAE3E0-6ECB-4829-BF1D-486E4BD72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51df3-9bd5-4eb3-955b-252f8063384c"/>
    <ds:schemaRef ds:uri="4faa9c72-9366-46b0-9f83-a55781906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D08689-172B-4F78-AA42-0FD69A7657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FBC92-7B29-4C63-AE49-08A7CCE3C3E9}">
  <ds:schemaRefs>
    <ds:schemaRef ds:uri="4faa9c72-9366-46b0-9f83-a55781906e4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0b51df3-9bd5-4eb3-955b-252f8063384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Enteric_19</vt:lpstr>
      <vt:lpstr>VS_19</vt:lpstr>
      <vt:lpstr>Nex_19</vt:lpstr>
      <vt:lpstr>Enteric_19!Print_Titles</vt:lpstr>
      <vt:lpstr>Nex_19!Print_Titles</vt:lpstr>
      <vt:lpstr>VS_19!Print_Titles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Olga</dc:creator>
  <cp:lastModifiedBy>Sandro Federici</cp:lastModifiedBy>
  <cp:lastPrinted>2018-11-28T08:10:05Z</cp:lastPrinted>
  <dcterms:created xsi:type="dcterms:W3CDTF">1996-10-14T23:33:28Z</dcterms:created>
  <dcterms:modified xsi:type="dcterms:W3CDTF">2023-05-30T07:39:48Z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0x0101002A6FC8FEB8568A4E8A46DD6F55BF44C0</vt:lpwstr>
  </property>
</Properties>
</file>