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omments1.xml" ContentType="application/vnd.openxmlformats-officedocument.spreadsheetml.comments+xml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9de09c822f254df3/Documents - Job/_IGES/corrigenda/AFOLU_Supplemental Information Chapter 10/to publish/"/>
    </mc:Choice>
  </mc:AlternateContent>
  <xr:revisionPtr revIDLastSave="14" documentId="11_36505FD402A0D8EA65205A60B86C60B06D21C0B7" xr6:coauthVersionLast="47" xr6:coauthVersionMax="47" xr10:uidLastSave="{FD70A3C9-4FD7-4A8C-8120-9BA2FCF7D979}"/>
  <bookViews>
    <workbookView xWindow="28680" yWindow="-120" windowWidth="38640" windowHeight="15840" tabRatio="253" activeTab="2" xr2:uid="{00000000-000D-0000-FFFF-FFFF00000000}"/>
  </bookViews>
  <sheets>
    <sheet name="Enteric_19" sheetId="19" r:id="rId1"/>
    <sheet name="VS_19" sheetId="20" r:id="rId2"/>
    <sheet name="Nex_19" sheetId="18" r:id="rId3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" i="18" l="1"/>
  <c r="B76" i="19" l="1"/>
  <c r="B51" i="19" l="1"/>
  <c r="D51" i="19" s="1"/>
  <c r="B77" i="19" l="1"/>
  <c r="G77" i="19"/>
  <c r="B37" i="19" l="1"/>
  <c r="B32" i="19"/>
  <c r="B27" i="19"/>
  <c r="B22" i="19"/>
  <c r="B17" i="19"/>
  <c r="B12" i="19"/>
  <c r="B6" i="19"/>
  <c r="C5" i="20" l="1"/>
  <c r="D5" i="20" s="1"/>
  <c r="E5" i="20" s="1"/>
  <c r="N12" i="19" l="1"/>
  <c r="N17" i="19"/>
  <c r="N6" i="19"/>
  <c r="N27" i="19"/>
  <c r="N22" i="19"/>
  <c r="N37" i="19"/>
  <c r="N32" i="19"/>
  <c r="K10" i="18" l="1"/>
  <c r="H7" i="18"/>
  <c r="H8" i="18"/>
  <c r="Q39" i="19" l="1"/>
  <c r="Q38" i="19"/>
  <c r="Q34" i="19"/>
  <c r="Q33" i="19"/>
  <c r="Q29" i="19"/>
  <c r="Q28" i="19"/>
  <c r="Q24" i="19"/>
  <c r="Q23" i="19"/>
  <c r="Q19" i="19"/>
  <c r="Q18" i="19"/>
  <c r="F39" i="19"/>
  <c r="S39" i="19" s="1"/>
  <c r="F34" i="19"/>
  <c r="S34" i="19" s="1"/>
  <c r="F29" i="19"/>
  <c r="F24" i="19"/>
  <c r="F19" i="19"/>
  <c r="F14" i="19"/>
  <c r="F9" i="19"/>
  <c r="Q14" i="19"/>
  <c r="Q13" i="19"/>
  <c r="Q8" i="19"/>
  <c r="Q9" i="19"/>
  <c r="Q7" i="19"/>
  <c r="K7" i="18" l="1"/>
  <c r="K8" i="18"/>
  <c r="K9" i="18"/>
  <c r="K13" i="18"/>
  <c r="K14" i="18"/>
  <c r="E53" i="19" l="1"/>
  <c r="E54" i="19"/>
  <c r="E58" i="19"/>
  <c r="E59" i="19"/>
  <c r="E63" i="19"/>
  <c r="E64" i="19"/>
  <c r="E68" i="19"/>
  <c r="E69" i="19"/>
  <c r="E73" i="19"/>
  <c r="E74" i="19"/>
  <c r="E78" i="19"/>
  <c r="E79" i="19"/>
  <c r="E83" i="19"/>
  <c r="E84" i="19"/>
  <c r="E19" i="20" l="1"/>
  <c r="D19" i="18"/>
  <c r="D8" i="20"/>
  <c r="C8" i="20"/>
  <c r="D9" i="20"/>
  <c r="C9" i="20"/>
  <c r="D10" i="20"/>
  <c r="C10" i="20"/>
  <c r="D11" i="20"/>
  <c r="C11" i="20"/>
  <c r="D13" i="20"/>
  <c r="C13" i="20"/>
  <c r="D14" i="20"/>
  <c r="C14" i="20"/>
  <c r="D15" i="20"/>
  <c r="C15" i="20"/>
  <c r="D16" i="20"/>
  <c r="C16" i="20"/>
  <c r="D18" i="20"/>
  <c r="C18" i="20"/>
  <c r="D19" i="20"/>
  <c r="C19" i="20"/>
  <c r="D20" i="20"/>
  <c r="C20" i="20"/>
  <c r="D21" i="20"/>
  <c r="C21" i="20"/>
  <c r="D23" i="20"/>
  <c r="C23" i="20"/>
  <c r="D24" i="20"/>
  <c r="C24" i="20"/>
  <c r="D25" i="20"/>
  <c r="C25" i="20"/>
  <c r="D26" i="20"/>
  <c r="C26" i="20"/>
  <c r="D28" i="20"/>
  <c r="C28" i="20"/>
  <c r="D29" i="20"/>
  <c r="C29" i="20"/>
  <c r="D30" i="20"/>
  <c r="C30" i="20"/>
  <c r="D31" i="20"/>
  <c r="C31" i="20"/>
  <c r="D33" i="20"/>
  <c r="C33" i="20"/>
  <c r="D34" i="20"/>
  <c r="C34" i="20"/>
  <c r="D35" i="20"/>
  <c r="C35" i="20"/>
  <c r="D36" i="20"/>
  <c r="C36" i="20"/>
  <c r="D38" i="20"/>
  <c r="C38" i="20"/>
  <c r="D39" i="20"/>
  <c r="C39" i="20"/>
  <c r="D40" i="20"/>
  <c r="C40" i="20"/>
  <c r="D41" i="20"/>
  <c r="C41" i="20"/>
  <c r="D7" i="20"/>
  <c r="C7" i="20"/>
  <c r="E8" i="20"/>
  <c r="E9" i="20"/>
  <c r="E10" i="20"/>
  <c r="E11" i="20"/>
  <c r="E13" i="20"/>
  <c r="E14" i="20"/>
  <c r="E15" i="20"/>
  <c r="E16" i="20"/>
  <c r="E18" i="20"/>
  <c r="E20" i="20"/>
  <c r="E21" i="20"/>
  <c r="E23" i="20"/>
  <c r="E24" i="20"/>
  <c r="E25" i="20"/>
  <c r="E26" i="20"/>
  <c r="E28" i="20"/>
  <c r="E29" i="20"/>
  <c r="E30" i="20"/>
  <c r="E31" i="20"/>
  <c r="E33" i="20"/>
  <c r="E34" i="20"/>
  <c r="E35" i="20"/>
  <c r="E36" i="20"/>
  <c r="E38" i="20"/>
  <c r="E39" i="20"/>
  <c r="E40" i="20"/>
  <c r="E41" i="20"/>
  <c r="E7" i="20"/>
  <c r="A8" i="20"/>
  <c r="A9" i="20"/>
  <c r="A10" i="20"/>
  <c r="A11" i="20"/>
  <c r="A13" i="20"/>
  <c r="A14" i="20"/>
  <c r="A15" i="20"/>
  <c r="A16" i="20"/>
  <c r="A18" i="20"/>
  <c r="A19" i="20"/>
  <c r="A20" i="20"/>
  <c r="A21" i="20"/>
  <c r="A23" i="20"/>
  <c r="A24" i="20"/>
  <c r="A25" i="20"/>
  <c r="A26" i="20"/>
  <c r="A28" i="20"/>
  <c r="A29" i="20"/>
  <c r="A30" i="20"/>
  <c r="A31" i="20"/>
  <c r="A32" i="20"/>
  <c r="A33" i="20"/>
  <c r="A34" i="20"/>
  <c r="A35" i="20"/>
  <c r="A36" i="20"/>
  <c r="A37" i="20"/>
  <c r="A38" i="20"/>
  <c r="A39" i="20"/>
  <c r="A40" i="20"/>
  <c r="A41" i="20"/>
  <c r="A7" i="20"/>
  <c r="B13" i="18"/>
  <c r="E8" i="18"/>
  <c r="I8" i="18"/>
  <c r="B8" i="18"/>
  <c r="E9" i="18"/>
  <c r="H9" i="18"/>
  <c r="B9" i="18"/>
  <c r="E10" i="18"/>
  <c r="H10" i="18"/>
  <c r="I10" i="18"/>
  <c r="B10" i="18"/>
  <c r="E11" i="18"/>
  <c r="H11" i="18"/>
  <c r="I11" i="18"/>
  <c r="K11" i="18"/>
  <c r="B11" i="18"/>
  <c r="E13" i="18"/>
  <c r="H13" i="18"/>
  <c r="I13" i="18"/>
  <c r="E14" i="18"/>
  <c r="H14" i="18"/>
  <c r="I14" i="18"/>
  <c r="B14" i="18"/>
  <c r="E15" i="18"/>
  <c r="H15" i="18"/>
  <c r="I15" i="18"/>
  <c r="K15" i="18"/>
  <c r="B15" i="18"/>
  <c r="E16" i="18"/>
  <c r="H16" i="18"/>
  <c r="I16" i="18"/>
  <c r="K16" i="18"/>
  <c r="B16" i="18"/>
  <c r="H18" i="18"/>
  <c r="I18" i="18"/>
  <c r="E18" i="18"/>
  <c r="B18" i="18"/>
  <c r="H19" i="18"/>
  <c r="I19" i="18"/>
  <c r="E19" i="18"/>
  <c r="B19" i="18"/>
  <c r="E20" i="18"/>
  <c r="H20" i="18"/>
  <c r="I20" i="18"/>
  <c r="K20" i="18"/>
  <c r="B20" i="18"/>
  <c r="E21" i="18"/>
  <c r="H21" i="18"/>
  <c r="I21" i="18"/>
  <c r="K21" i="18"/>
  <c r="B21" i="18"/>
  <c r="H23" i="18"/>
  <c r="I23" i="18"/>
  <c r="E23" i="18"/>
  <c r="B23" i="18"/>
  <c r="H24" i="18"/>
  <c r="I24" i="18"/>
  <c r="E24" i="18"/>
  <c r="B24" i="18"/>
  <c r="E25" i="18"/>
  <c r="H25" i="18"/>
  <c r="I25" i="18"/>
  <c r="K25" i="18"/>
  <c r="B25" i="18"/>
  <c r="E26" i="18"/>
  <c r="H26" i="18"/>
  <c r="I26" i="18"/>
  <c r="K26" i="18"/>
  <c r="B26" i="18"/>
  <c r="H28" i="18"/>
  <c r="I28" i="18"/>
  <c r="E28" i="18"/>
  <c r="B28" i="18"/>
  <c r="H29" i="18"/>
  <c r="I29" i="18"/>
  <c r="E29" i="18"/>
  <c r="B29" i="18"/>
  <c r="E30" i="18"/>
  <c r="H30" i="18"/>
  <c r="I30" i="18"/>
  <c r="K30" i="18"/>
  <c r="B30" i="18"/>
  <c r="E31" i="18"/>
  <c r="H31" i="18"/>
  <c r="I31" i="18"/>
  <c r="K31" i="18"/>
  <c r="B31" i="18"/>
  <c r="H33" i="18"/>
  <c r="I33" i="18"/>
  <c r="E33" i="18"/>
  <c r="B33" i="18"/>
  <c r="H34" i="18"/>
  <c r="I34" i="18"/>
  <c r="E34" i="18"/>
  <c r="B34" i="18"/>
  <c r="E35" i="18"/>
  <c r="H35" i="18"/>
  <c r="I35" i="18"/>
  <c r="K35" i="18"/>
  <c r="B35" i="18"/>
  <c r="E36" i="18"/>
  <c r="H36" i="18"/>
  <c r="I36" i="18"/>
  <c r="K36" i="18"/>
  <c r="B36" i="18"/>
  <c r="H38" i="18"/>
  <c r="I38" i="18"/>
  <c r="E38" i="18"/>
  <c r="B38" i="18"/>
  <c r="H39" i="18"/>
  <c r="I39" i="18"/>
  <c r="E39" i="18"/>
  <c r="B39" i="18"/>
  <c r="E40" i="18"/>
  <c r="H40" i="18"/>
  <c r="I40" i="18"/>
  <c r="K40" i="18"/>
  <c r="B40" i="18"/>
  <c r="E41" i="18"/>
  <c r="H41" i="18"/>
  <c r="I41" i="18"/>
  <c r="K41" i="18"/>
  <c r="B41" i="18"/>
  <c r="A7" i="18"/>
  <c r="A8" i="18"/>
  <c r="A9" i="18"/>
  <c r="A10" i="18"/>
  <c r="A11" i="18"/>
  <c r="A13" i="18"/>
  <c r="A14" i="18"/>
  <c r="A15" i="18"/>
  <c r="A16" i="18"/>
  <c r="A18" i="18"/>
  <c r="A19" i="18"/>
  <c r="A20" i="18"/>
  <c r="A21" i="18"/>
  <c r="A23" i="18"/>
  <c r="A24" i="18"/>
  <c r="A25" i="18"/>
  <c r="A26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0" i="18"/>
  <c r="A41" i="18"/>
  <c r="I7" i="18"/>
  <c r="E7" i="18"/>
  <c r="K18" i="18"/>
  <c r="K19" i="18"/>
  <c r="K23" i="18"/>
  <c r="K24" i="18"/>
  <c r="K28" i="18"/>
  <c r="K29" i="18"/>
  <c r="K33" i="18"/>
  <c r="K34" i="18"/>
  <c r="K38" i="18"/>
  <c r="K39" i="18"/>
  <c r="B7" i="18"/>
  <c r="D8" i="18"/>
  <c r="D9" i="18"/>
  <c r="D10" i="18"/>
  <c r="D11" i="18"/>
  <c r="D13" i="18"/>
  <c r="D14" i="18"/>
  <c r="D15" i="18"/>
  <c r="D16" i="18"/>
  <c r="D18" i="18"/>
  <c r="D20" i="18"/>
  <c r="D21" i="18"/>
  <c r="D23" i="18"/>
  <c r="D24" i="18"/>
  <c r="D25" i="18"/>
  <c r="D26" i="18"/>
  <c r="D28" i="18"/>
  <c r="D29" i="18"/>
  <c r="D30" i="18"/>
  <c r="D31" i="18"/>
  <c r="D33" i="18"/>
  <c r="D34" i="18"/>
  <c r="D35" i="18"/>
  <c r="D36" i="18"/>
  <c r="D38" i="18"/>
  <c r="D39" i="18"/>
  <c r="D40" i="18"/>
  <c r="D41" i="18"/>
  <c r="D7" i="18"/>
  <c r="J71" i="19"/>
  <c r="K71" i="19"/>
  <c r="J72" i="19"/>
  <c r="K72" i="19"/>
  <c r="J73" i="19"/>
  <c r="K73" i="19"/>
  <c r="J74" i="19"/>
  <c r="K74" i="19"/>
  <c r="J76" i="19"/>
  <c r="K76" i="19"/>
  <c r="J77" i="19"/>
  <c r="K77" i="19"/>
  <c r="J78" i="19"/>
  <c r="K78" i="19"/>
  <c r="J79" i="19"/>
  <c r="K79" i="19"/>
  <c r="J81" i="19"/>
  <c r="K81" i="19"/>
  <c r="J82" i="19"/>
  <c r="K82" i="19"/>
  <c r="J83" i="19"/>
  <c r="K83" i="19"/>
  <c r="J84" i="19"/>
  <c r="K84" i="19"/>
  <c r="B62" i="19"/>
  <c r="H62" i="19" s="1"/>
  <c r="B63" i="19"/>
  <c r="H63" i="19" s="1"/>
  <c r="B64" i="19"/>
  <c r="H64" i="19" s="1"/>
  <c r="B61" i="19"/>
  <c r="H61" i="19" s="1"/>
  <c r="J67" i="19"/>
  <c r="K67" i="19"/>
  <c r="J68" i="19"/>
  <c r="K68" i="19"/>
  <c r="J69" i="19"/>
  <c r="K69" i="19"/>
  <c r="J66" i="19"/>
  <c r="K66" i="19"/>
  <c r="J62" i="19"/>
  <c r="K62" i="19"/>
  <c r="D62" i="19"/>
  <c r="J63" i="19"/>
  <c r="K63" i="19"/>
  <c r="J64" i="19"/>
  <c r="K64" i="19"/>
  <c r="J61" i="19"/>
  <c r="K61" i="19"/>
  <c r="A62" i="19"/>
  <c r="A64" i="19"/>
  <c r="A61" i="19"/>
  <c r="G51" i="19"/>
  <c r="J51" i="19"/>
  <c r="K51" i="19"/>
  <c r="G52" i="19"/>
  <c r="J52" i="19"/>
  <c r="K52" i="19"/>
  <c r="G53" i="19"/>
  <c r="J53" i="19"/>
  <c r="K53" i="19"/>
  <c r="G54" i="19"/>
  <c r="J54" i="19"/>
  <c r="K54" i="19"/>
  <c r="G56" i="19"/>
  <c r="J56" i="19"/>
  <c r="K56" i="19"/>
  <c r="G57" i="19"/>
  <c r="J57" i="19"/>
  <c r="K57" i="19"/>
  <c r="G58" i="19"/>
  <c r="J58" i="19"/>
  <c r="K58" i="19"/>
  <c r="G59" i="19"/>
  <c r="J59" i="19"/>
  <c r="K59" i="19"/>
  <c r="G61" i="19"/>
  <c r="G62" i="19"/>
  <c r="G63" i="19"/>
  <c r="G64" i="19"/>
  <c r="G66" i="19"/>
  <c r="G67" i="19"/>
  <c r="G68" i="19"/>
  <c r="G69" i="19"/>
  <c r="G71" i="19"/>
  <c r="G72" i="19"/>
  <c r="G73" i="19"/>
  <c r="G74" i="19"/>
  <c r="G76" i="19"/>
  <c r="G78" i="19"/>
  <c r="G79" i="19"/>
  <c r="G81" i="19"/>
  <c r="G82" i="19"/>
  <c r="G83" i="19"/>
  <c r="G84" i="19"/>
  <c r="E51" i="19"/>
  <c r="L8" i="18" s="1"/>
  <c r="E52" i="19"/>
  <c r="L9" i="18" s="1"/>
  <c r="L10" i="18"/>
  <c r="M10" i="18" s="1"/>
  <c r="L11" i="18"/>
  <c r="M11" i="18" s="1"/>
  <c r="E56" i="19"/>
  <c r="L13" i="18" s="1"/>
  <c r="E57" i="19"/>
  <c r="L14" i="18" s="1"/>
  <c r="L15" i="18"/>
  <c r="L16" i="18"/>
  <c r="E61" i="19"/>
  <c r="L18" i="18" s="1"/>
  <c r="E62" i="19"/>
  <c r="L19" i="18" s="1"/>
  <c r="L20" i="18"/>
  <c r="L21" i="18"/>
  <c r="E66" i="19"/>
  <c r="L23" i="18" s="1"/>
  <c r="E67" i="19"/>
  <c r="L24" i="18" s="1"/>
  <c r="L25" i="18"/>
  <c r="M25" i="18" s="1"/>
  <c r="L26" i="18"/>
  <c r="E71" i="19"/>
  <c r="L28" i="18" s="1"/>
  <c r="E72" i="19"/>
  <c r="L29" i="18" s="1"/>
  <c r="L30" i="18"/>
  <c r="L31" i="18"/>
  <c r="E76" i="19"/>
  <c r="L33" i="18" s="1"/>
  <c r="E77" i="19"/>
  <c r="L34" i="18" s="1"/>
  <c r="L35" i="18"/>
  <c r="L36" i="18"/>
  <c r="L38" i="18"/>
  <c r="L39" i="18"/>
  <c r="L40" i="18"/>
  <c r="L41" i="18"/>
  <c r="B52" i="19"/>
  <c r="D52" i="19" s="1"/>
  <c r="B53" i="19"/>
  <c r="D53" i="19" s="1"/>
  <c r="B54" i="19"/>
  <c r="H54" i="19" s="1"/>
  <c r="B56" i="19"/>
  <c r="I56" i="19" s="1"/>
  <c r="B57" i="19"/>
  <c r="I57" i="19" s="1"/>
  <c r="B58" i="19"/>
  <c r="H58" i="19" s="1"/>
  <c r="B59" i="19"/>
  <c r="H59" i="19" s="1"/>
  <c r="B66" i="19"/>
  <c r="D66" i="19" s="1"/>
  <c r="B67" i="19"/>
  <c r="I67" i="19" s="1"/>
  <c r="B68" i="19"/>
  <c r="H68" i="19" s="1"/>
  <c r="B69" i="19"/>
  <c r="I69" i="19" s="1"/>
  <c r="B71" i="19"/>
  <c r="I71" i="19" s="1"/>
  <c r="B72" i="19"/>
  <c r="H72" i="19" s="1"/>
  <c r="B73" i="19"/>
  <c r="D73" i="19" s="1"/>
  <c r="B74" i="19"/>
  <c r="D74" i="19" s="1"/>
  <c r="D76" i="19"/>
  <c r="D77" i="19"/>
  <c r="B78" i="19"/>
  <c r="I78" i="19" s="1"/>
  <c r="B79" i="19"/>
  <c r="I79" i="19" s="1"/>
  <c r="B81" i="19"/>
  <c r="H81" i="19" s="1"/>
  <c r="B82" i="19"/>
  <c r="D82" i="19" s="1"/>
  <c r="B83" i="19"/>
  <c r="I83" i="19" s="1"/>
  <c r="B84" i="19"/>
  <c r="I84" i="19" s="1"/>
  <c r="A76" i="19"/>
  <c r="A81" i="19" s="1"/>
  <c r="A77" i="19"/>
  <c r="A82" i="19" s="1"/>
  <c r="A78" i="19"/>
  <c r="A83" i="19" s="1"/>
  <c r="A79" i="19"/>
  <c r="A84" i="19" s="1"/>
  <c r="B50" i="19"/>
  <c r="H50" i="19" s="1"/>
  <c r="G50" i="19"/>
  <c r="J50" i="19"/>
  <c r="E50" i="19"/>
  <c r="L7" i="18" s="1"/>
  <c r="K50" i="19"/>
  <c r="A6" i="18"/>
  <c r="A6" i="20"/>
  <c r="O4" i="19"/>
  <c r="A17" i="19"/>
  <c r="A17" i="18" s="1"/>
  <c r="A27" i="19"/>
  <c r="A27" i="18" s="1"/>
  <c r="A22" i="19"/>
  <c r="A22" i="20" s="1"/>
  <c r="A12" i="19"/>
  <c r="A56" i="19"/>
  <c r="A59" i="19"/>
  <c r="A57" i="19"/>
  <c r="H53" i="19"/>
  <c r="I74" i="19"/>
  <c r="H51" i="19"/>
  <c r="I51" i="19"/>
  <c r="D84" i="19"/>
  <c r="I59" i="19" l="1"/>
  <c r="H78" i="19"/>
  <c r="D59" i="19"/>
  <c r="H73" i="19"/>
  <c r="A17" i="20"/>
  <c r="D78" i="19"/>
  <c r="L78" i="19" s="1"/>
  <c r="M78" i="19" s="1"/>
  <c r="O35" i="19" s="1"/>
  <c r="A22" i="18"/>
  <c r="I53" i="19"/>
  <c r="L53" i="19" s="1"/>
  <c r="C10" i="18" s="1"/>
  <c r="F10" i="18" s="1"/>
  <c r="G10" i="18" s="1"/>
  <c r="H67" i="19"/>
  <c r="I58" i="19"/>
  <c r="M36" i="18"/>
  <c r="M16" i="18"/>
  <c r="I73" i="19"/>
  <c r="I81" i="19"/>
  <c r="I62" i="19"/>
  <c r="L62" i="19" s="1"/>
  <c r="M40" i="18"/>
  <c r="M20" i="18"/>
  <c r="M30" i="18"/>
  <c r="M31" i="18"/>
  <c r="M26" i="18"/>
  <c r="M35" i="18"/>
  <c r="M15" i="18"/>
  <c r="M41" i="18"/>
  <c r="M21" i="18"/>
  <c r="I77" i="19"/>
  <c r="H69" i="19"/>
  <c r="A27" i="20"/>
  <c r="H77" i="19"/>
  <c r="D67" i="19"/>
  <c r="H52" i="19"/>
  <c r="D50" i="19"/>
  <c r="J25" i="18"/>
  <c r="N25" i="18" s="1"/>
  <c r="J31" i="18"/>
  <c r="H56" i="19"/>
  <c r="I68" i="19"/>
  <c r="L73" i="19"/>
  <c r="M73" i="19" s="1"/>
  <c r="O30" i="19" s="1"/>
  <c r="I61" i="19"/>
  <c r="I63" i="19"/>
  <c r="D64" i="19"/>
  <c r="D56" i="19"/>
  <c r="J39" i="18"/>
  <c r="J19" i="18"/>
  <c r="I54" i="19"/>
  <c r="H74" i="19"/>
  <c r="L74" i="19" s="1"/>
  <c r="H84" i="19"/>
  <c r="L84" i="19" s="1"/>
  <c r="I64" i="19"/>
  <c r="J7" i="18"/>
  <c r="J23" i="18"/>
  <c r="D54" i="19"/>
  <c r="I82" i="19"/>
  <c r="J29" i="18"/>
  <c r="J26" i="18"/>
  <c r="J18" i="18"/>
  <c r="J13" i="18"/>
  <c r="I50" i="19"/>
  <c r="L50" i="19" s="1"/>
  <c r="D57" i="19"/>
  <c r="J41" i="18"/>
  <c r="J21" i="18"/>
  <c r="D58" i="19"/>
  <c r="I52" i="19"/>
  <c r="L59" i="19"/>
  <c r="O59" i="19" s="1"/>
  <c r="I66" i="19"/>
  <c r="D79" i="19"/>
  <c r="H76" i="19"/>
  <c r="D61" i="19"/>
  <c r="H66" i="19"/>
  <c r="I72" i="19"/>
  <c r="D72" i="19"/>
  <c r="A12" i="20"/>
  <c r="H83" i="19"/>
  <c r="L67" i="19"/>
  <c r="C24" i="18" s="1"/>
  <c r="F24" i="18" s="1"/>
  <c r="G24" i="18" s="1"/>
  <c r="D83" i="19"/>
  <c r="H82" i="19"/>
  <c r="L82" i="19" s="1"/>
  <c r="C39" i="18" s="1"/>
  <c r="F39" i="18" s="1"/>
  <c r="G39" i="18" s="1"/>
  <c r="A12" i="18"/>
  <c r="L51" i="19"/>
  <c r="B8" i="20" s="1"/>
  <c r="H79" i="19"/>
  <c r="J15" i="18"/>
  <c r="J35" i="18"/>
  <c r="J33" i="18"/>
  <c r="J34" i="18"/>
  <c r="J38" i="18"/>
  <c r="J20" i="18"/>
  <c r="J40" i="18"/>
  <c r="J30" i="18"/>
  <c r="J28" i="18"/>
  <c r="J10" i="18"/>
  <c r="N10" i="18" s="1"/>
  <c r="J8" i="18"/>
  <c r="J16" i="18"/>
  <c r="J14" i="18"/>
  <c r="J9" i="18"/>
  <c r="J11" i="18"/>
  <c r="N11" i="18" s="1"/>
  <c r="J36" i="18"/>
  <c r="J24" i="18"/>
  <c r="D71" i="19"/>
  <c r="I76" i="19"/>
  <c r="H57" i="19"/>
  <c r="D81" i="19"/>
  <c r="D69" i="19"/>
  <c r="L69" i="19" s="1"/>
  <c r="C26" i="18" s="1"/>
  <c r="F26" i="18" s="1"/>
  <c r="G26" i="18" s="1"/>
  <c r="D68" i="19"/>
  <c r="D63" i="19"/>
  <c r="H71" i="19"/>
  <c r="N35" i="18" l="1"/>
  <c r="N26" i="18"/>
  <c r="L56" i="19"/>
  <c r="B13" i="20" s="1"/>
  <c r="H13" i="20" s="1"/>
  <c r="P10" i="18"/>
  <c r="L54" i="19"/>
  <c r="L68" i="19"/>
  <c r="B25" i="20" s="1"/>
  <c r="H25" i="20" s="1"/>
  <c r="I25" i="20" s="1"/>
  <c r="N16" i="18"/>
  <c r="O25" i="18"/>
  <c r="N30" i="18"/>
  <c r="O30" i="18" s="1"/>
  <c r="P26" i="18"/>
  <c r="L81" i="19"/>
  <c r="C38" i="18" s="1"/>
  <c r="F38" i="18" s="1"/>
  <c r="G38" i="18" s="1"/>
  <c r="L58" i="19"/>
  <c r="C15" i="18" s="1"/>
  <c r="F15" i="18" s="1"/>
  <c r="G15" i="18" s="1"/>
  <c r="L77" i="19"/>
  <c r="L61" i="19"/>
  <c r="L66" i="19"/>
  <c r="B23" i="20" s="1"/>
  <c r="H23" i="20" s="1"/>
  <c r="I23" i="20" s="1"/>
  <c r="I13" i="20"/>
  <c r="O62" i="19"/>
  <c r="B19" i="20"/>
  <c r="H19" i="20" s="1"/>
  <c r="M62" i="19"/>
  <c r="O19" i="19" s="1"/>
  <c r="C19" i="18"/>
  <c r="F19" i="18" s="1"/>
  <c r="G19" i="18" s="1"/>
  <c r="H8" i="20"/>
  <c r="N40" i="18"/>
  <c r="N41" i="18"/>
  <c r="N21" i="18"/>
  <c r="N15" i="18"/>
  <c r="N39" i="18"/>
  <c r="N23" i="18"/>
  <c r="N9" i="18"/>
  <c r="N18" i="18"/>
  <c r="N7" i="18"/>
  <c r="N38" i="18"/>
  <c r="N34" i="18"/>
  <c r="N31" i="18"/>
  <c r="N8" i="18"/>
  <c r="N29" i="18"/>
  <c r="N36" i="18"/>
  <c r="N33" i="18"/>
  <c r="N20" i="18"/>
  <c r="N13" i="18"/>
  <c r="N14" i="18"/>
  <c r="N24" i="18"/>
  <c r="N28" i="18"/>
  <c r="N19" i="18"/>
  <c r="C34" i="18"/>
  <c r="F34" i="18" s="1"/>
  <c r="G34" i="18" s="1"/>
  <c r="O77" i="19"/>
  <c r="L52" i="19"/>
  <c r="M52" i="19" s="1"/>
  <c r="O9" i="19" s="1"/>
  <c r="O10" i="18"/>
  <c r="M59" i="19"/>
  <c r="O16" i="19" s="1"/>
  <c r="O35" i="18"/>
  <c r="B24" i="20"/>
  <c r="B39" i="20"/>
  <c r="M77" i="19"/>
  <c r="O34" i="19" s="1"/>
  <c r="B16" i="20"/>
  <c r="O73" i="19"/>
  <c r="O67" i="19"/>
  <c r="C13" i="18"/>
  <c r="F13" i="18" s="1"/>
  <c r="G13" i="18" s="1"/>
  <c r="C16" i="18"/>
  <c r="F16" i="18" s="1"/>
  <c r="G16" i="18" s="1"/>
  <c r="O56" i="19"/>
  <c r="B30" i="20"/>
  <c r="C30" i="18"/>
  <c r="F30" i="18" s="1"/>
  <c r="G30" i="18" s="1"/>
  <c r="M53" i="19"/>
  <c r="O10" i="19" s="1"/>
  <c r="O26" i="18"/>
  <c r="Q26" i="18" s="1"/>
  <c r="R26" i="18" s="1"/>
  <c r="O84" i="19"/>
  <c r="C41" i="18"/>
  <c r="F41" i="18" s="1"/>
  <c r="G41" i="18" s="1"/>
  <c r="B41" i="20"/>
  <c r="M84" i="19"/>
  <c r="O41" i="19" s="1"/>
  <c r="M74" i="19"/>
  <c r="O31" i="19" s="1"/>
  <c r="B31" i="20"/>
  <c r="H31" i="20" s="1"/>
  <c r="I31" i="20" s="1"/>
  <c r="O74" i="19"/>
  <c r="C31" i="18"/>
  <c r="F31" i="18" s="1"/>
  <c r="G31" i="18" s="1"/>
  <c r="L64" i="19"/>
  <c r="O82" i="19"/>
  <c r="O53" i="19"/>
  <c r="O11" i="18"/>
  <c r="M82" i="19"/>
  <c r="O39" i="19" s="1"/>
  <c r="B10" i="20"/>
  <c r="M56" i="19"/>
  <c r="O13" i="19" s="1"/>
  <c r="L83" i="19"/>
  <c r="O83" i="19" s="1"/>
  <c r="L63" i="19"/>
  <c r="M63" i="19" s="1"/>
  <c r="O20" i="19" s="1"/>
  <c r="L57" i="19"/>
  <c r="M57" i="19" s="1"/>
  <c r="O14" i="19" s="1"/>
  <c r="L79" i="19"/>
  <c r="C36" i="18" s="1"/>
  <c r="F36" i="18" s="1"/>
  <c r="G36" i="18" s="1"/>
  <c r="M50" i="19"/>
  <c r="O7" i="19" s="1"/>
  <c r="B7" i="20"/>
  <c r="C7" i="18"/>
  <c r="F7" i="18" s="1"/>
  <c r="G7" i="18" s="1"/>
  <c r="O50" i="19"/>
  <c r="M66" i="19"/>
  <c r="O23" i="19" s="1"/>
  <c r="L71" i="19"/>
  <c r="B28" i="20" s="1"/>
  <c r="H28" i="20" s="1"/>
  <c r="O66" i="19"/>
  <c r="M51" i="19"/>
  <c r="O8" i="19" s="1"/>
  <c r="L72" i="19"/>
  <c r="L76" i="19"/>
  <c r="C18" i="18"/>
  <c r="F18" i="18" s="1"/>
  <c r="G18" i="18" s="1"/>
  <c r="O51" i="19"/>
  <c r="B18" i="20"/>
  <c r="C8" i="18"/>
  <c r="F8" i="18" s="1"/>
  <c r="G8" i="18" s="1"/>
  <c r="C23" i="18"/>
  <c r="F23" i="18" s="1"/>
  <c r="G23" i="18" s="1"/>
  <c r="B34" i="20"/>
  <c r="M67" i="19"/>
  <c r="O24" i="19" s="1"/>
  <c r="O78" i="19"/>
  <c r="B35" i="20"/>
  <c r="H35" i="20" s="1"/>
  <c r="C35" i="18"/>
  <c r="F35" i="18" s="1"/>
  <c r="G35" i="18" s="1"/>
  <c r="O16" i="18"/>
  <c r="B38" i="20"/>
  <c r="M69" i="19"/>
  <c r="O26" i="19" s="1"/>
  <c r="M54" i="19"/>
  <c r="O11" i="19" s="1"/>
  <c r="O54" i="19"/>
  <c r="C11" i="18"/>
  <c r="F11" i="18" s="1"/>
  <c r="G11" i="18" s="1"/>
  <c r="B11" i="20"/>
  <c r="H11" i="20" s="1"/>
  <c r="I11" i="20" s="1"/>
  <c r="O69" i="19"/>
  <c r="B26" i="20"/>
  <c r="H26" i="20" s="1"/>
  <c r="I26" i="20" s="1"/>
  <c r="O81" i="19" l="1"/>
  <c r="M81" i="19"/>
  <c r="O38" i="19" s="1"/>
  <c r="M68" i="19"/>
  <c r="O25" i="19" s="1"/>
  <c r="O68" i="19"/>
  <c r="C25" i="18"/>
  <c r="F25" i="18" s="1"/>
  <c r="G25" i="18" s="1"/>
  <c r="C20" i="18"/>
  <c r="F20" i="18" s="1"/>
  <c r="G20" i="18" s="1"/>
  <c r="Q20" i="18" s="1"/>
  <c r="R20" i="18" s="1"/>
  <c r="I8" i="20"/>
  <c r="C33" i="18"/>
  <c r="F33" i="18" s="1"/>
  <c r="G33" i="18" s="1"/>
  <c r="Q33" i="18" s="1"/>
  <c r="M76" i="19"/>
  <c r="O57" i="19"/>
  <c r="O63" i="19"/>
  <c r="P16" i="18"/>
  <c r="O19" i="18"/>
  <c r="Q19" i="18" s="1"/>
  <c r="R19" i="18" s="1"/>
  <c r="P19" i="18"/>
  <c r="O29" i="18"/>
  <c r="O23" i="18"/>
  <c r="Q23" i="18" s="1"/>
  <c r="R23" i="18" s="1"/>
  <c r="P23" i="18"/>
  <c r="O28" i="18"/>
  <c r="O8" i="18"/>
  <c r="Q8" i="18" s="1"/>
  <c r="R8" i="18" s="1"/>
  <c r="P8" i="18"/>
  <c r="O39" i="18"/>
  <c r="Q39" i="18" s="1"/>
  <c r="R39" i="18" s="1"/>
  <c r="P39" i="18"/>
  <c r="O24" i="18"/>
  <c r="Q24" i="18" s="1"/>
  <c r="R24" i="18" s="1"/>
  <c r="P24" i="18"/>
  <c r="O31" i="18"/>
  <c r="P31" i="18"/>
  <c r="O15" i="18"/>
  <c r="Q15" i="18" s="1"/>
  <c r="R15" i="18" s="1"/>
  <c r="P15" i="18"/>
  <c r="O33" i="18"/>
  <c r="O36" i="18"/>
  <c r="Q36" i="18" s="1"/>
  <c r="R36" i="18" s="1"/>
  <c r="P36" i="18"/>
  <c r="P35" i="18"/>
  <c r="O14" i="18"/>
  <c r="O34" i="18"/>
  <c r="Q34" i="18" s="1"/>
  <c r="R34" i="18" s="1"/>
  <c r="P34" i="18"/>
  <c r="O21" i="18"/>
  <c r="P11" i="18"/>
  <c r="O18" i="18"/>
  <c r="P18" i="18"/>
  <c r="O9" i="18"/>
  <c r="O13" i="18"/>
  <c r="P13" i="18"/>
  <c r="O38" i="18"/>
  <c r="P38" i="18"/>
  <c r="O41" i="18"/>
  <c r="Q41" i="18" s="1"/>
  <c r="R41" i="18" s="1"/>
  <c r="P41" i="18"/>
  <c r="O20" i="18"/>
  <c r="O7" i="18"/>
  <c r="Q7" i="18" s="1"/>
  <c r="R7" i="18" s="1"/>
  <c r="P7" i="18"/>
  <c r="O40" i="18"/>
  <c r="P30" i="18"/>
  <c r="B9" i="20"/>
  <c r="H9" i="20" s="1"/>
  <c r="I9" i="20" s="1"/>
  <c r="I28" i="20"/>
  <c r="C9" i="18"/>
  <c r="F9" i="18" s="1"/>
  <c r="G9" i="18" s="1"/>
  <c r="O52" i="19"/>
  <c r="M61" i="19"/>
  <c r="O18" i="19" s="1"/>
  <c r="O61" i="19"/>
  <c r="O58" i="19"/>
  <c r="B15" i="20"/>
  <c r="H15" i="20" s="1"/>
  <c r="I15" i="20" s="1"/>
  <c r="M58" i="19"/>
  <c r="O15" i="19" s="1"/>
  <c r="O12" i="19" s="1"/>
  <c r="I19" i="20"/>
  <c r="I35" i="20"/>
  <c r="H18" i="20"/>
  <c r="I18" i="20" s="1"/>
  <c r="H34" i="20"/>
  <c r="I34" i="20" s="1"/>
  <c r="H16" i="20"/>
  <c r="I16" i="20" s="1"/>
  <c r="H30" i="20"/>
  <c r="I30" i="20" s="1"/>
  <c r="H39" i="20"/>
  <c r="I39" i="20" s="1"/>
  <c r="H10" i="20"/>
  <c r="I10" i="20" s="1"/>
  <c r="H38" i="20"/>
  <c r="I38" i="20" s="1"/>
  <c r="H7" i="20"/>
  <c r="H6" i="20" s="1"/>
  <c r="H41" i="20"/>
  <c r="I41" i="20" s="1"/>
  <c r="H24" i="20"/>
  <c r="Q13" i="18"/>
  <c r="R13" i="18" s="1"/>
  <c r="Q10" i="18"/>
  <c r="R10" i="18" s="1"/>
  <c r="Q35" i="18"/>
  <c r="R35" i="18" s="1"/>
  <c r="Q16" i="18"/>
  <c r="R16" i="18" s="1"/>
  <c r="B14" i="20"/>
  <c r="M79" i="19"/>
  <c r="O36" i="19" s="1"/>
  <c r="Q30" i="18"/>
  <c r="R30" i="18" s="1"/>
  <c r="O76" i="19"/>
  <c r="C28" i="18"/>
  <c r="F28" i="18" s="1"/>
  <c r="G28" i="18" s="1"/>
  <c r="Q28" i="18" s="1"/>
  <c r="O79" i="19"/>
  <c r="Q11" i="18"/>
  <c r="R11" i="18" s="1"/>
  <c r="B36" i="20"/>
  <c r="O64" i="19"/>
  <c r="B21" i="20"/>
  <c r="H21" i="20" s="1"/>
  <c r="I21" i="20" s="1"/>
  <c r="M64" i="19"/>
  <c r="O21" i="19" s="1"/>
  <c r="C21" i="18"/>
  <c r="F21" i="18" s="1"/>
  <c r="G21" i="18" s="1"/>
  <c r="C14" i="18"/>
  <c r="F14" i="18" s="1"/>
  <c r="G14" i="18" s="1"/>
  <c r="B40" i="20"/>
  <c r="O33" i="19"/>
  <c r="Q31" i="18"/>
  <c r="R31" i="18" s="1"/>
  <c r="M83" i="19"/>
  <c r="O40" i="19" s="1"/>
  <c r="O37" i="19" s="1"/>
  <c r="M71" i="19"/>
  <c r="O28" i="19" s="1"/>
  <c r="O6" i="19"/>
  <c r="B20" i="20"/>
  <c r="C40" i="18"/>
  <c r="F40" i="18" s="1"/>
  <c r="G40" i="18" s="1"/>
  <c r="B33" i="20"/>
  <c r="Q18" i="18"/>
  <c r="R18" i="18" s="1"/>
  <c r="O71" i="19"/>
  <c r="M72" i="19"/>
  <c r="O29" i="19" s="1"/>
  <c r="C29" i="18"/>
  <c r="F29" i="18" s="1"/>
  <c r="G29" i="18" s="1"/>
  <c r="O72" i="19"/>
  <c r="B29" i="20"/>
  <c r="H29" i="20" s="1"/>
  <c r="I29" i="20" s="1"/>
  <c r="O22" i="19"/>
  <c r="Q38" i="18"/>
  <c r="R38" i="18" s="1"/>
  <c r="Q25" i="18"/>
  <c r="Q9" i="18" l="1"/>
  <c r="R9" i="18" s="1"/>
  <c r="O17" i="19"/>
  <c r="P33" i="18"/>
  <c r="Q14" i="18"/>
  <c r="P20" i="18"/>
  <c r="P25" i="18"/>
  <c r="P14" i="18"/>
  <c r="P12" i="18" s="1"/>
  <c r="P9" i="18"/>
  <c r="P6" i="18" s="1"/>
  <c r="P28" i="18"/>
  <c r="P40" i="18"/>
  <c r="P37" i="18" s="1"/>
  <c r="P21" i="18"/>
  <c r="P17" i="18" s="1"/>
  <c r="P29" i="18"/>
  <c r="I7" i="20"/>
  <c r="I6" i="20" s="1"/>
  <c r="H27" i="20"/>
  <c r="I24" i="20"/>
  <c r="H22" i="20"/>
  <c r="H40" i="20"/>
  <c r="H14" i="20"/>
  <c r="H20" i="20"/>
  <c r="I20" i="20" s="1"/>
  <c r="H36" i="20"/>
  <c r="H33" i="20"/>
  <c r="I33" i="20" s="1"/>
  <c r="R6" i="18"/>
  <c r="Q6" i="18"/>
  <c r="O27" i="19"/>
  <c r="O32" i="19"/>
  <c r="P22" i="18"/>
  <c r="P32" i="18"/>
  <c r="Q40" i="18"/>
  <c r="R40" i="18" s="1"/>
  <c r="R37" i="18" s="1"/>
  <c r="Q21" i="18"/>
  <c r="R21" i="18" s="1"/>
  <c r="R17" i="18" s="1"/>
  <c r="Q29" i="18"/>
  <c r="R29" i="18" s="1"/>
  <c r="R25" i="18"/>
  <c r="R22" i="18" s="1"/>
  <c r="Q22" i="18"/>
  <c r="R28" i="18"/>
  <c r="R14" i="18"/>
  <c r="R12" i="18" s="1"/>
  <c r="Q12" i="18"/>
  <c r="Q32" i="18"/>
  <c r="R33" i="18"/>
  <c r="R32" i="18" s="1"/>
  <c r="I14" i="20" l="1"/>
  <c r="H12" i="20"/>
  <c r="H17" i="20"/>
  <c r="I40" i="20"/>
  <c r="I37" i="20" s="1"/>
  <c r="H37" i="20"/>
  <c r="I36" i="20"/>
  <c r="I32" i="20" s="1"/>
  <c r="H32" i="20"/>
  <c r="P27" i="18"/>
  <c r="I12" i="20"/>
  <c r="Q17" i="18"/>
  <c r="Q37" i="18"/>
  <c r="R27" i="18"/>
  <c r="Q27" i="18"/>
  <c r="I22" i="20"/>
  <c r="I17" i="20" l="1"/>
  <c r="I27" i="2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Olga</author>
  </authors>
  <commentList>
    <comment ref="Q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Olga:</t>
        </r>
        <r>
          <rPr>
            <sz val="9"/>
            <color indexed="81"/>
            <rFont val="Tahoma"/>
            <family val="2"/>
          </rPr>
          <t xml:space="preserve">
may refers to weight related to stage of growth</t>
        </r>
      </text>
    </comment>
  </commentList>
</comments>
</file>

<file path=xl/sharedStrings.xml><?xml version="1.0" encoding="utf-8"?>
<sst xmlns="http://schemas.openxmlformats.org/spreadsheetml/2006/main" count="170" uniqueCount="87">
  <si>
    <t>Regions</t>
  </si>
  <si>
    <t>Feeding Situation</t>
  </si>
  <si>
    <t>Work</t>
  </si>
  <si>
    <t>% Pregnant</t>
  </si>
  <si>
    <t>CH4 Conversion %</t>
  </si>
  <si>
    <t>Maintenance</t>
  </si>
  <si>
    <t>Activity</t>
  </si>
  <si>
    <t>Growth</t>
  </si>
  <si>
    <t>Lactation</t>
  </si>
  <si>
    <t>Pregnancy</t>
  </si>
  <si>
    <t>GE, MJ/day</t>
  </si>
  <si>
    <t>EF, kg/hd/yr</t>
  </si>
  <si>
    <t>DM Intake</t>
  </si>
  <si>
    <t>Equn 14</t>
  </si>
  <si>
    <t>% Weight</t>
  </si>
  <si>
    <t>Energy content of methane is</t>
  </si>
  <si>
    <t>MJ/kg</t>
  </si>
  <si>
    <t>Energy content of feed is</t>
  </si>
  <si>
    <t>REM</t>
  </si>
  <si>
    <t>Indian Subcontinent</t>
  </si>
  <si>
    <t>Asia</t>
  </si>
  <si>
    <t>Latin America</t>
  </si>
  <si>
    <t>Africa</t>
  </si>
  <si>
    <t>Middle East</t>
  </si>
  <si>
    <t>Western Europe</t>
  </si>
  <si>
    <t>Eastern Europe</t>
  </si>
  <si>
    <t>Pasture/Range</t>
  </si>
  <si>
    <t>Breeding Males</t>
  </si>
  <si>
    <t>Working Males</t>
  </si>
  <si>
    <t xml:space="preserve">Calves </t>
  </si>
  <si>
    <t>Calves</t>
  </si>
  <si>
    <t>DE,%</t>
  </si>
  <si>
    <t>UE</t>
  </si>
  <si>
    <t>ASH</t>
  </si>
  <si>
    <t>GE, MJ/day/hd</t>
  </si>
  <si>
    <t>CP, %</t>
  </si>
  <si>
    <t>Nintake, kg N/day/hd</t>
  </si>
  <si>
    <t>Milk PR%</t>
  </si>
  <si>
    <t>N retention, kgN/d/hd</t>
  </si>
  <si>
    <t>Weight gain, kg/hd/day</t>
  </si>
  <si>
    <t>Neg, MJ/day</t>
  </si>
  <si>
    <t>Weight, kg</t>
  </si>
  <si>
    <t>kg N(1000 kg animal mass-1) day-1</t>
  </si>
  <si>
    <t>Breeding males</t>
  </si>
  <si>
    <t>Pasture/Paddock</t>
  </si>
  <si>
    <t>Working males</t>
  </si>
  <si>
    <t>Mature Females</t>
  </si>
  <si>
    <t>Mature Males</t>
  </si>
  <si>
    <t>Day Weighted Population Mix %</t>
  </si>
  <si>
    <t>N retention_frac</t>
  </si>
  <si>
    <t>VS, kg/hd/d</t>
  </si>
  <si>
    <t>Mature weight, kg</t>
  </si>
  <si>
    <t>Milk, kg/day</t>
  </si>
  <si>
    <t>Milk, kg/yr</t>
  </si>
  <si>
    <t>Weight Gain, kg/day</t>
  </si>
  <si>
    <t>Fat, %</t>
  </si>
  <si>
    <t>Protein, %</t>
  </si>
  <si>
    <t>Work, hrs/day</t>
  </si>
  <si>
    <t>Growing animals</t>
  </si>
  <si>
    <t>REG</t>
  </si>
  <si>
    <t>Nintake, kg N/hd/yr</t>
  </si>
  <si>
    <t>Nex, kg/head/yr</t>
  </si>
  <si>
    <t>N retention due to growth, kgN/head/day</t>
  </si>
  <si>
    <t>N retention due to milk production and growth, kgN/head/day</t>
  </si>
  <si>
    <t>N retention, kgN/head/yr</t>
  </si>
  <si>
    <t>from enteric section</t>
  </si>
  <si>
    <t>Digestibility of Feed, %</t>
  </si>
  <si>
    <t>Data for estimating Enteric Fermentation Emission Factors for Buffalo</t>
  </si>
  <si>
    <t>Net Energy Requirements for Buffalo (MJ/day)</t>
  </si>
  <si>
    <t>Eq 10.3</t>
  </si>
  <si>
    <t>Eq 10.6</t>
  </si>
  <si>
    <t>Eq 10.8</t>
  </si>
  <si>
    <t>Eq 10.11</t>
  </si>
  <si>
    <t>Eq 10.13</t>
  </si>
  <si>
    <t>Eq 10.14</t>
  </si>
  <si>
    <t>Eq 10.15</t>
  </si>
  <si>
    <t>Eq 10.16</t>
  </si>
  <si>
    <t>Eq 10.24</t>
  </si>
  <si>
    <t>(1000 kg animal mass-1) day-1</t>
  </si>
  <si>
    <t xml:space="preserve">VS </t>
  </si>
  <si>
    <t>Data for estimating Tier 1  Volatile solid excretion rates for Buffalo</t>
  </si>
  <si>
    <t>Data for estimating Tier 1 Nitrogen excretion rates and Nretention fractions for Buffalo</t>
  </si>
  <si>
    <t>Eq 10.32</t>
  </si>
  <si>
    <t>Eq 10.33</t>
  </si>
  <si>
    <t>(multiplied by 365)</t>
  </si>
  <si>
    <t xml:space="preserve">(kg N retained/animal/day) (kg N intake/animal/day)-1 </t>
  </si>
  <si>
    <t>Stall fed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</si>
</sst>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&quot;-&quot;??_);_(@_)"/>
    <numFmt numFmtId="165" formatCode="_(* #,##0_);_(* \(#,##0\);_(* &quot;-&quot;??_);_(@_)"/>
    <numFmt numFmtId="166" formatCode="0.0"/>
    <numFmt numFmtId="167" formatCode="0.0%"/>
    <numFmt numFmtId="168" formatCode="0.000"/>
    <numFmt numFmtId="169" formatCode="_(* #,##0.0_);_(* \(#,##0.0\);_(* &quot;-&quot;??_);_(@_)"/>
    <numFmt numFmtId="170" formatCode="_(* #,##0.000_);_(* \(#,##0.000\);_(* &quot;-&quot;??_);_(@_)"/>
  </numFmts>
  <fonts count="12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  <charset val="204"/>
    </font>
    <font>
      <sz val="10"/>
      <name val="Arial"/>
      <family val="2"/>
    </font>
    <font>
      <i/>
      <sz val="10"/>
      <name val="Arial"/>
      <family val="2"/>
    </font>
    <font>
      <sz val="9"/>
      <name val="GillSans"/>
      <family val="2"/>
    </font>
    <font>
      <sz val="9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73">
    <xf numFmtId="0" fontId="0" fillId="0" borderId="0" xfId="0"/>
    <xf numFmtId="0" fontId="0" fillId="0" borderId="0" xfId="0" applyAlignment="1">
      <alignment horizontal="center"/>
    </xf>
    <xf numFmtId="0" fontId="0" fillId="0" borderId="7" xfId="0" applyBorder="1"/>
    <xf numFmtId="0" fontId="3" fillId="0" borderId="0" xfId="0" applyFont="1" applyAlignment="1">
      <alignment horizontal="center"/>
    </xf>
    <xf numFmtId="0" fontId="3" fillId="0" borderId="0" xfId="0" applyFont="1"/>
    <xf numFmtId="1" fontId="3" fillId="0" borderId="0" xfId="0" applyNumberFormat="1" applyFont="1"/>
    <xf numFmtId="165" fontId="3" fillId="0" borderId="0" xfId="0" applyNumberFormat="1" applyFont="1" applyAlignment="1">
      <alignment horizontal="center"/>
    </xf>
    <xf numFmtId="0" fontId="1" fillId="0" borderId="0" xfId="0" applyFont="1"/>
    <xf numFmtId="0" fontId="0" fillId="3" borderId="2" xfId="0" applyFill="1" applyBorder="1" applyAlignment="1">
      <alignment horizontal="center" wrapText="1"/>
    </xf>
    <xf numFmtId="1" fontId="3" fillId="4" borderId="7" xfId="0" applyNumberFormat="1" applyFont="1" applyFill="1" applyBorder="1" applyAlignment="1">
      <alignment horizontal="center"/>
    </xf>
    <xf numFmtId="0" fontId="3" fillId="4" borderId="7" xfId="0" applyFont="1" applyFill="1" applyBorder="1" applyAlignment="1">
      <alignment horizontal="left" vertical="top"/>
    </xf>
    <xf numFmtId="0" fontId="1" fillId="0" borderId="0" xfId="0" applyFont="1" applyAlignment="1">
      <alignment horizontal="center"/>
    </xf>
    <xf numFmtId="0" fontId="1" fillId="3" borderId="2" xfId="0" applyFont="1" applyFill="1" applyBorder="1" applyAlignment="1">
      <alignment horizontal="center" wrapText="1"/>
    </xf>
    <xf numFmtId="0" fontId="1" fillId="3" borderId="3" xfId="0" applyFont="1" applyFill="1" applyBorder="1" applyAlignment="1">
      <alignment horizontal="center"/>
    </xf>
    <xf numFmtId="0" fontId="1" fillId="3" borderId="11" xfId="0" applyFont="1" applyFill="1" applyBorder="1"/>
    <xf numFmtId="0" fontId="1" fillId="3" borderId="11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left" vertical="top"/>
    </xf>
    <xf numFmtId="0" fontId="1" fillId="4" borderId="0" xfId="0" applyFont="1" applyFill="1"/>
    <xf numFmtId="0" fontId="1" fillId="4" borderId="8" xfId="0" applyFont="1" applyFill="1" applyBorder="1" applyAlignment="1">
      <alignment horizontal="center"/>
    </xf>
    <xf numFmtId="1" fontId="3" fillId="4" borderId="8" xfId="0" applyNumberFormat="1" applyFont="1" applyFill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7" xfId="0" applyFont="1" applyBorder="1" applyAlignment="1">
      <alignment horizontal="left" vertical="top"/>
    </xf>
    <xf numFmtId="0" fontId="1" fillId="0" borderId="7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/>
    </xf>
    <xf numFmtId="166" fontId="1" fillId="0" borderId="7" xfId="0" applyNumberFormat="1" applyFont="1" applyBorder="1" applyAlignment="1">
      <alignment horizontal="center" vertical="top" wrapText="1"/>
    </xf>
    <xf numFmtId="9" fontId="1" fillId="0" borderId="7" xfId="0" applyNumberFormat="1" applyFont="1" applyBorder="1" applyAlignment="1">
      <alignment horizontal="center" vertical="top" wrapText="1"/>
    </xf>
    <xf numFmtId="1" fontId="1" fillId="0" borderId="7" xfId="2" applyNumberFormat="1" applyFont="1" applyFill="1" applyBorder="1" applyAlignment="1">
      <alignment horizontal="center" vertical="top" wrapText="1"/>
    </xf>
    <xf numFmtId="167" fontId="1" fillId="0" borderId="7" xfId="0" applyNumberFormat="1" applyFont="1" applyBorder="1" applyAlignment="1">
      <alignment horizontal="center"/>
    </xf>
    <xf numFmtId="167" fontId="1" fillId="0" borderId="10" xfId="0" applyNumberFormat="1" applyFont="1" applyBorder="1" applyAlignment="1">
      <alignment horizontal="center" vertical="top" wrapText="1"/>
    </xf>
    <xf numFmtId="9" fontId="1" fillId="0" borderId="7" xfId="0" applyNumberFormat="1" applyFont="1" applyBorder="1" applyAlignment="1">
      <alignment horizontal="center"/>
    </xf>
    <xf numFmtId="1" fontId="1" fillId="0" borderId="7" xfId="0" applyNumberFormat="1" applyFont="1" applyBorder="1" applyAlignment="1">
      <alignment horizontal="center"/>
    </xf>
    <xf numFmtId="3" fontId="1" fillId="0" borderId="7" xfId="0" applyNumberFormat="1" applyFont="1" applyBorder="1" applyAlignment="1">
      <alignment horizontal="center" vertical="top" wrapText="1"/>
    </xf>
    <xf numFmtId="2" fontId="1" fillId="0" borderId="7" xfId="0" applyNumberFormat="1" applyFont="1" applyBorder="1" applyAlignment="1">
      <alignment horizontal="center" vertical="top" wrapText="1"/>
    </xf>
    <xf numFmtId="2" fontId="1" fillId="0" borderId="0" xfId="0" applyNumberFormat="1" applyFont="1"/>
    <xf numFmtId="1" fontId="1" fillId="0" borderId="0" xfId="0" applyNumberFormat="1" applyFont="1"/>
    <xf numFmtId="167" fontId="1" fillId="0" borderId="7" xfId="0" applyNumberFormat="1" applyFont="1" applyBorder="1" applyAlignment="1">
      <alignment horizontal="center" vertical="top" wrapText="1"/>
    </xf>
    <xf numFmtId="0" fontId="1" fillId="4" borderId="7" xfId="0" applyFont="1" applyFill="1" applyBorder="1" applyAlignment="1">
      <alignment horizontal="center" vertical="top" wrapText="1"/>
    </xf>
    <xf numFmtId="0" fontId="1" fillId="4" borderId="7" xfId="0" applyFont="1" applyFill="1" applyBorder="1" applyAlignment="1">
      <alignment horizontal="center" vertical="top"/>
    </xf>
    <xf numFmtId="0" fontId="1" fillId="4" borderId="7" xfId="0" applyFont="1" applyFill="1" applyBorder="1" applyAlignment="1">
      <alignment horizontal="center"/>
    </xf>
    <xf numFmtId="9" fontId="1" fillId="4" borderId="7" xfId="0" applyNumberFormat="1" applyFont="1" applyFill="1" applyBorder="1" applyAlignment="1">
      <alignment horizontal="center" vertical="top" wrapText="1"/>
    </xf>
    <xf numFmtId="167" fontId="1" fillId="4" borderId="7" xfId="0" applyNumberFormat="1" applyFont="1" applyFill="1" applyBorder="1"/>
    <xf numFmtId="167" fontId="1" fillId="4" borderId="7" xfId="0" applyNumberFormat="1" applyFont="1" applyFill="1" applyBorder="1" applyAlignment="1">
      <alignment horizontal="center" vertical="top" wrapText="1"/>
    </xf>
    <xf numFmtId="1" fontId="1" fillId="0" borderId="7" xfId="0" applyNumberFormat="1" applyFont="1" applyBorder="1" applyAlignment="1">
      <alignment horizontal="center" vertical="top" wrapText="1"/>
    </xf>
    <xf numFmtId="9" fontId="1" fillId="0" borderId="0" xfId="0" applyNumberFormat="1" applyFont="1"/>
    <xf numFmtId="2" fontId="1" fillId="0" borderId="7" xfId="0" applyNumberFormat="1" applyFont="1" applyBorder="1" applyAlignment="1">
      <alignment horizontal="center"/>
    </xf>
    <xf numFmtId="9" fontId="1" fillId="0" borderId="0" xfId="2" applyFont="1"/>
    <xf numFmtId="0" fontId="1" fillId="0" borderId="7" xfId="0" applyFont="1" applyBorder="1"/>
    <xf numFmtId="2" fontId="1" fillId="4" borderId="7" xfId="0" applyNumberFormat="1" applyFont="1" applyFill="1" applyBorder="1" applyAlignment="1">
      <alignment horizontal="center"/>
    </xf>
    <xf numFmtId="166" fontId="1" fillId="0" borderId="0" xfId="0" applyNumberFormat="1" applyFont="1"/>
    <xf numFmtId="166" fontId="1" fillId="0" borderId="7" xfId="0" applyNumberFormat="1" applyFont="1" applyBorder="1" applyAlignment="1">
      <alignment horizontal="center"/>
    </xf>
    <xf numFmtId="0" fontId="3" fillId="4" borderId="8" xfId="0" applyFont="1" applyFill="1" applyBorder="1" applyAlignment="1">
      <alignment horizontal="left" vertical="top"/>
    </xf>
    <xf numFmtId="2" fontId="1" fillId="4" borderId="8" xfId="0" applyNumberFormat="1" applyFont="1" applyFill="1" applyBorder="1" applyAlignment="1">
      <alignment horizontal="center"/>
    </xf>
    <xf numFmtId="166" fontId="1" fillId="4" borderId="8" xfId="0" applyNumberFormat="1" applyFont="1" applyFill="1" applyBorder="1" applyAlignment="1">
      <alignment horizontal="center"/>
    </xf>
    <xf numFmtId="0" fontId="1" fillId="0" borderId="6" xfId="0" applyFont="1" applyBorder="1"/>
    <xf numFmtId="0" fontId="1" fillId="0" borderId="1" xfId="0" applyFont="1" applyBorder="1" applyAlignment="1">
      <alignment horizontal="centerContinuous"/>
    </xf>
    <xf numFmtId="0" fontId="1" fillId="0" borderId="3" xfId="0" applyFont="1" applyBorder="1" applyAlignment="1">
      <alignment horizontal="centerContinuous"/>
    </xf>
    <xf numFmtId="0" fontId="3" fillId="0" borderId="0" xfId="0" applyFont="1" applyAlignment="1">
      <alignment horizontal="centerContinuous" vertical="top" wrapText="1"/>
    </xf>
    <xf numFmtId="0" fontId="1" fillId="3" borderId="2" xfId="0" applyFont="1" applyFill="1" applyBorder="1" applyAlignment="1">
      <alignment horizontal="center" vertical="top" wrapText="1"/>
    </xf>
    <xf numFmtId="0" fontId="1" fillId="3" borderId="11" xfId="0" applyFont="1" applyFill="1" applyBorder="1" applyAlignment="1">
      <alignment horizontal="center" vertical="top" wrapText="1"/>
    </xf>
    <xf numFmtId="0" fontId="1" fillId="0" borderId="0" xfId="0" applyFont="1" applyAlignment="1">
      <alignment horizontal="centerContinuous" vertical="top"/>
    </xf>
    <xf numFmtId="170" fontId="1" fillId="0" borderId="7" xfId="1" applyNumberFormat="1" applyFont="1" applyFill="1" applyBorder="1"/>
    <xf numFmtId="0" fontId="1" fillId="0" borderId="0" xfId="0" applyFont="1" applyAlignment="1">
      <alignment horizontal="left" vertical="top"/>
    </xf>
    <xf numFmtId="0" fontId="1" fillId="0" borderId="8" xfId="0" applyFont="1" applyBorder="1" applyAlignment="1">
      <alignment horizontal="center"/>
    </xf>
    <xf numFmtId="0" fontId="1" fillId="3" borderId="12" xfId="0" applyFont="1" applyFill="1" applyBorder="1" applyAlignment="1">
      <alignment horizontal="center" wrapText="1"/>
    </xf>
    <xf numFmtId="0" fontId="1" fillId="3" borderId="5" xfId="0" applyFont="1" applyFill="1" applyBorder="1" applyAlignment="1">
      <alignment horizontal="center"/>
    </xf>
    <xf numFmtId="168" fontId="1" fillId="0" borderId="7" xfId="0" applyNumberFormat="1" applyFont="1" applyBorder="1" applyAlignment="1">
      <alignment horizontal="center"/>
    </xf>
    <xf numFmtId="0" fontId="1" fillId="3" borderId="12" xfId="0" applyFont="1" applyFill="1" applyBorder="1" applyAlignment="1">
      <alignment horizontal="center" vertical="top" wrapText="1"/>
    </xf>
    <xf numFmtId="0" fontId="1" fillId="3" borderId="5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horizontal="center" vertical="top"/>
    </xf>
    <xf numFmtId="0" fontId="1" fillId="3" borderId="2" xfId="0" applyFont="1" applyFill="1" applyBorder="1"/>
    <xf numFmtId="0" fontId="1" fillId="3" borderId="3" xfId="0" applyFont="1" applyFill="1" applyBorder="1" applyAlignment="1">
      <alignment horizontal="center" vertical="top" wrapText="1"/>
    </xf>
    <xf numFmtId="0" fontId="1" fillId="3" borderId="4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/>
    </xf>
    <xf numFmtId="168" fontId="1" fillId="0" borderId="7" xfId="0" applyNumberFormat="1" applyFont="1" applyBorder="1" applyAlignment="1">
      <alignment horizontal="center" vertical="top" wrapText="1"/>
    </xf>
    <xf numFmtId="170" fontId="1" fillId="0" borderId="7" xfId="1" applyNumberFormat="1" applyFont="1" applyFill="1" applyBorder="1" applyAlignment="1">
      <alignment horizontal="center" vertical="top" wrapText="1"/>
    </xf>
    <xf numFmtId="170" fontId="1" fillId="0" borderId="7" xfId="1" applyNumberFormat="1" applyFont="1" applyFill="1" applyBorder="1" applyAlignment="1">
      <alignment horizontal="center" vertical="top"/>
    </xf>
    <xf numFmtId="167" fontId="1" fillId="0" borderId="7" xfId="2" applyNumberFormat="1" applyFont="1" applyFill="1" applyBorder="1" applyAlignment="1">
      <alignment horizontal="center" vertical="top" wrapText="1"/>
    </xf>
    <xf numFmtId="170" fontId="1" fillId="0" borderId="7" xfId="1" applyNumberFormat="1" applyFont="1" applyBorder="1" applyAlignment="1">
      <alignment horizontal="center" vertical="top"/>
    </xf>
    <xf numFmtId="168" fontId="1" fillId="4" borderId="7" xfId="0" applyNumberFormat="1" applyFont="1" applyFill="1" applyBorder="1" applyAlignment="1">
      <alignment horizontal="center" vertical="top" wrapText="1"/>
    </xf>
    <xf numFmtId="170" fontId="1" fillId="4" borderId="7" xfId="1" applyNumberFormat="1" applyFont="1" applyFill="1" applyBorder="1" applyAlignment="1">
      <alignment horizontal="center" vertical="top" wrapText="1"/>
    </xf>
    <xf numFmtId="170" fontId="1" fillId="4" borderId="7" xfId="1" applyNumberFormat="1" applyFont="1" applyFill="1" applyBorder="1" applyAlignment="1">
      <alignment horizontal="center" vertical="top"/>
    </xf>
    <xf numFmtId="1" fontId="1" fillId="4" borderId="7" xfId="0" applyNumberFormat="1" applyFont="1" applyFill="1" applyBorder="1" applyAlignment="1">
      <alignment horizontal="center" vertical="top" wrapText="1"/>
    </xf>
    <xf numFmtId="167" fontId="1" fillId="4" borderId="7" xfId="2" applyNumberFormat="1" applyFont="1" applyFill="1" applyBorder="1" applyAlignment="1">
      <alignment horizontal="center" vertical="top" wrapText="1"/>
    </xf>
    <xf numFmtId="0" fontId="1" fillId="3" borderId="5" xfId="0" applyFont="1" applyFill="1" applyBorder="1" applyAlignment="1">
      <alignment horizontal="center" vertical="top" wrapText="1"/>
    </xf>
    <xf numFmtId="0" fontId="4" fillId="0" borderId="0" xfId="0" applyFont="1" applyAlignment="1">
      <alignment horizontal="left"/>
    </xf>
    <xf numFmtId="0" fontId="0" fillId="3" borderId="1" xfId="0" applyFill="1" applyBorder="1"/>
    <xf numFmtId="0" fontId="0" fillId="3" borderId="2" xfId="0" applyFill="1" applyBorder="1" applyAlignment="1">
      <alignment horizontal="center"/>
    </xf>
    <xf numFmtId="0" fontId="0" fillId="3" borderId="4" xfId="0" applyFill="1" applyBorder="1"/>
    <xf numFmtId="0" fontId="1" fillId="3" borderId="11" xfId="0" applyFont="1" applyFill="1" applyBorder="1" applyAlignment="1">
      <alignment horizontal="center" wrapText="1"/>
    </xf>
    <xf numFmtId="0" fontId="3" fillId="0" borderId="0" xfId="0" applyFont="1" applyAlignment="1">
      <alignment horizontal="left"/>
    </xf>
    <xf numFmtId="0" fontId="3" fillId="3" borderId="3" xfId="0" applyFont="1" applyFill="1" applyBorder="1" applyAlignment="1">
      <alignment horizontal="center" wrapText="1"/>
    </xf>
    <xf numFmtId="0" fontId="3" fillId="4" borderId="7" xfId="0" applyFont="1" applyFill="1" applyBorder="1"/>
    <xf numFmtId="2" fontId="3" fillId="4" borderId="7" xfId="0" applyNumberFormat="1" applyFont="1" applyFill="1" applyBorder="1" applyAlignment="1">
      <alignment horizontal="center"/>
    </xf>
    <xf numFmtId="164" fontId="3" fillId="0" borderId="7" xfId="1" applyFont="1" applyFill="1" applyBorder="1"/>
    <xf numFmtId="0" fontId="3" fillId="4" borderId="8" xfId="0" applyFont="1" applyFill="1" applyBorder="1"/>
    <xf numFmtId="0" fontId="0" fillId="3" borderId="12" xfId="0" applyFill="1" applyBorder="1" applyAlignment="1">
      <alignment horizontal="center"/>
    </xf>
    <xf numFmtId="0" fontId="3" fillId="3" borderId="12" xfId="0" applyFont="1" applyFill="1" applyBorder="1" applyAlignment="1">
      <alignment horizontal="center" wrapText="1"/>
    </xf>
    <xf numFmtId="0" fontId="3" fillId="3" borderId="5" xfId="0" applyFont="1" applyFill="1" applyBorder="1" applyAlignment="1">
      <alignment horizontal="center" wrapText="1"/>
    </xf>
    <xf numFmtId="0" fontId="3" fillId="3" borderId="5" xfId="0" applyFont="1" applyFill="1" applyBorder="1" applyAlignment="1">
      <alignment horizontal="center"/>
    </xf>
    <xf numFmtId="164" fontId="1" fillId="0" borderId="7" xfId="1" applyFont="1" applyFill="1" applyBorder="1" applyAlignment="1">
      <alignment horizontal="center"/>
    </xf>
    <xf numFmtId="164" fontId="1" fillId="0" borderId="7" xfId="1" applyFont="1" applyFill="1" applyBorder="1"/>
    <xf numFmtId="169" fontId="1" fillId="0" borderId="7" xfId="1" applyNumberFormat="1" applyFont="1" applyFill="1" applyBorder="1"/>
    <xf numFmtId="1" fontId="1" fillId="4" borderId="7" xfId="0" applyNumberFormat="1" applyFont="1" applyFill="1" applyBorder="1" applyAlignment="1">
      <alignment horizontal="center"/>
    </xf>
    <xf numFmtId="9" fontId="1" fillId="4" borderId="7" xfId="0" applyNumberFormat="1" applyFont="1" applyFill="1" applyBorder="1" applyAlignment="1">
      <alignment horizontal="center"/>
    </xf>
    <xf numFmtId="164" fontId="1" fillId="4" borderId="7" xfId="1" applyFont="1" applyFill="1" applyBorder="1" applyAlignment="1">
      <alignment horizontal="center"/>
    </xf>
    <xf numFmtId="164" fontId="1" fillId="4" borderId="7" xfId="1" applyFont="1" applyFill="1" applyBorder="1"/>
    <xf numFmtId="169" fontId="1" fillId="4" borderId="7" xfId="1" applyNumberFormat="1" applyFont="1" applyFill="1" applyBorder="1"/>
    <xf numFmtId="170" fontId="1" fillId="4" borderId="7" xfId="1" applyNumberFormat="1" applyFont="1" applyFill="1" applyBorder="1"/>
    <xf numFmtId="165" fontId="1" fillId="0" borderId="7" xfId="1" applyNumberFormat="1" applyFont="1" applyFill="1" applyBorder="1" applyAlignment="1">
      <alignment horizontal="center"/>
    </xf>
    <xf numFmtId="165" fontId="1" fillId="4" borderId="7" xfId="1" applyNumberFormat="1" applyFont="1" applyFill="1" applyBorder="1" applyAlignment="1">
      <alignment horizontal="center"/>
    </xf>
    <xf numFmtId="3" fontId="1" fillId="0" borderId="7" xfId="1" applyNumberFormat="1" applyFont="1" applyFill="1" applyBorder="1" applyAlignment="1">
      <alignment horizontal="center"/>
    </xf>
    <xf numFmtId="3" fontId="1" fillId="4" borderId="7" xfId="1" applyNumberFormat="1" applyFont="1" applyFill="1" applyBorder="1" applyAlignment="1">
      <alignment horizontal="center"/>
    </xf>
    <xf numFmtId="0" fontId="3" fillId="5" borderId="7" xfId="0" applyFont="1" applyFill="1" applyBorder="1"/>
    <xf numFmtId="0" fontId="0" fillId="5" borderId="7" xfId="0" applyFill="1" applyBorder="1" applyAlignment="1">
      <alignment horizontal="center"/>
    </xf>
    <xf numFmtId="166" fontId="3" fillId="5" borderId="7" xfId="0" applyNumberFormat="1" applyFont="1" applyFill="1" applyBorder="1" applyAlignment="1">
      <alignment horizontal="center"/>
    </xf>
    <xf numFmtId="1" fontId="0" fillId="0" borderId="7" xfId="0" applyNumberFormat="1" applyBorder="1" applyAlignment="1">
      <alignment horizontal="center"/>
    </xf>
    <xf numFmtId="165" fontId="5" fillId="0" borderId="7" xfId="1" applyNumberFormat="1" applyFont="1" applyBorder="1"/>
    <xf numFmtId="9" fontId="0" fillId="0" borderId="7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166" fontId="0" fillId="0" borderId="7" xfId="0" applyNumberFormat="1" applyBorder="1" applyAlignment="1">
      <alignment horizontal="center"/>
    </xf>
    <xf numFmtId="1" fontId="3" fillId="5" borderId="7" xfId="0" applyNumberFormat="1" applyFont="1" applyFill="1" applyBorder="1" applyAlignment="1">
      <alignment horizontal="center"/>
    </xf>
    <xf numFmtId="165" fontId="3" fillId="5" borderId="7" xfId="1" applyNumberFormat="1" applyFont="1" applyFill="1" applyBorder="1"/>
    <xf numFmtId="9" fontId="3" fillId="5" borderId="7" xfId="0" applyNumberFormat="1" applyFont="1" applyFill="1" applyBorder="1" applyAlignment="1">
      <alignment horizontal="center"/>
    </xf>
    <xf numFmtId="0" fontId="3" fillId="5" borderId="7" xfId="0" applyFont="1" applyFill="1" applyBorder="1" applyAlignment="1">
      <alignment horizontal="center"/>
    </xf>
    <xf numFmtId="1" fontId="0" fillId="5" borderId="7" xfId="0" applyNumberFormat="1" applyFill="1" applyBorder="1" applyAlignment="1">
      <alignment horizontal="center"/>
    </xf>
    <xf numFmtId="165" fontId="5" fillId="5" borderId="7" xfId="1" applyNumberFormat="1" applyFont="1" applyFill="1" applyBorder="1"/>
    <xf numFmtId="9" fontId="0" fillId="5" borderId="7" xfId="0" applyNumberFormat="1" applyFill="1" applyBorder="1" applyAlignment="1">
      <alignment horizontal="center"/>
    </xf>
    <xf numFmtId="0" fontId="3" fillId="5" borderId="8" xfId="0" applyFont="1" applyFill="1" applyBorder="1"/>
    <xf numFmtId="1" fontId="6" fillId="5" borderId="8" xfId="0" applyNumberFormat="1" applyFont="1" applyFill="1" applyBorder="1" applyAlignment="1">
      <alignment horizontal="center"/>
    </xf>
    <xf numFmtId="0" fontId="0" fillId="5" borderId="8" xfId="0" applyFill="1" applyBorder="1"/>
    <xf numFmtId="0" fontId="0" fillId="5" borderId="8" xfId="0" applyFill="1" applyBorder="1" applyAlignment="1">
      <alignment horizontal="center"/>
    </xf>
    <xf numFmtId="0" fontId="7" fillId="3" borderId="5" xfId="0" applyFont="1" applyFill="1" applyBorder="1" applyAlignment="1">
      <alignment horizontal="center" wrapText="1"/>
    </xf>
    <xf numFmtId="9" fontId="1" fillId="4" borderId="8" xfId="0" applyNumberFormat="1" applyFont="1" applyFill="1" applyBorder="1" applyAlignment="1">
      <alignment horizontal="center"/>
    </xf>
    <xf numFmtId="9" fontId="1" fillId="0" borderId="7" xfId="2" applyFont="1" applyFill="1" applyBorder="1" applyAlignment="1">
      <alignment horizontal="center"/>
    </xf>
    <xf numFmtId="0" fontId="3" fillId="0" borderId="0" xfId="0" applyFont="1" applyAlignment="1">
      <alignment horizontal="left" vertical="top"/>
    </xf>
    <xf numFmtId="0" fontId="8" fillId="0" borderId="0" xfId="0" applyFont="1" applyAlignment="1">
      <alignment horizontal="center" vertical="top" wrapText="1"/>
    </xf>
    <xf numFmtId="0" fontId="8" fillId="0" borderId="0" xfId="0" applyFont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7" fillId="3" borderId="11" xfId="0" applyFont="1" applyFill="1" applyBorder="1" applyAlignment="1">
      <alignment horizontal="center" wrapText="1"/>
    </xf>
    <xf numFmtId="0" fontId="1" fillId="3" borderId="5" xfId="0" applyFont="1" applyFill="1" applyBorder="1" applyAlignment="1">
      <alignment horizontal="center" wrapText="1"/>
    </xf>
    <xf numFmtId="0" fontId="3" fillId="3" borderId="6" xfId="0" applyFont="1" applyFill="1" applyBorder="1" applyAlignment="1">
      <alignment horizontal="center" wrapText="1"/>
    </xf>
    <xf numFmtId="1" fontId="3" fillId="4" borderId="0" xfId="0" applyNumberFormat="1" applyFont="1" applyFill="1" applyAlignment="1">
      <alignment horizontal="center"/>
    </xf>
    <xf numFmtId="1" fontId="3" fillId="4" borderId="7" xfId="0" applyNumberFormat="1" applyFont="1" applyFill="1" applyBorder="1" applyAlignment="1">
      <alignment horizontal="center" vertical="top" wrapText="1"/>
    </xf>
    <xf numFmtId="3" fontId="3" fillId="4" borderId="7" xfId="0" applyNumberFormat="1" applyFont="1" applyFill="1" applyBorder="1" applyAlignment="1">
      <alignment horizontal="center"/>
    </xf>
    <xf numFmtId="3" fontId="3" fillId="4" borderId="8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vertical="top"/>
    </xf>
    <xf numFmtId="0" fontId="1" fillId="3" borderId="4" xfId="0" applyFont="1" applyFill="1" applyBorder="1"/>
    <xf numFmtId="0" fontId="1" fillId="3" borderId="12" xfId="0" applyFont="1" applyFill="1" applyBorder="1" applyAlignment="1">
      <alignment horizontal="center" vertical="top" wrapText="1"/>
    </xf>
    <xf numFmtId="0" fontId="1" fillId="3" borderId="5" xfId="0" applyFont="1" applyFill="1" applyBorder="1"/>
    <xf numFmtId="167" fontId="1" fillId="4" borderId="8" xfId="2" applyNumberFormat="1" applyFont="1" applyFill="1" applyBorder="1" applyAlignment="1">
      <alignment horizontal="center" vertical="top" wrapText="1"/>
    </xf>
    <xf numFmtId="2" fontId="1" fillId="4" borderId="7" xfId="0" applyNumberFormat="1" applyFont="1" applyFill="1" applyBorder="1" applyAlignment="1">
      <alignment horizontal="center" vertical="top" wrapText="1"/>
    </xf>
    <xf numFmtId="167" fontId="1" fillId="4" borderId="7" xfId="0" applyNumberFormat="1" applyFont="1" applyFill="1" applyBorder="1" applyAlignment="1">
      <alignment horizontal="center"/>
    </xf>
    <xf numFmtId="168" fontId="1" fillId="4" borderId="8" xfId="0" applyNumberFormat="1" applyFont="1" applyFill="1" applyBorder="1" applyAlignment="1">
      <alignment horizontal="center" vertical="top" wrapText="1"/>
    </xf>
    <xf numFmtId="168" fontId="1" fillId="4" borderId="8" xfId="0" applyNumberFormat="1" applyFont="1" applyFill="1" applyBorder="1" applyAlignment="1">
      <alignment horizontal="center" vertical="top"/>
    </xf>
    <xf numFmtId="1" fontId="1" fillId="4" borderId="8" xfId="0" applyNumberFormat="1" applyFont="1" applyFill="1" applyBorder="1" applyAlignment="1">
      <alignment horizontal="center" vertical="top" wrapText="1"/>
    </xf>
    <xf numFmtId="168" fontId="1" fillId="0" borderId="0" xfId="0" applyNumberFormat="1" applyFont="1" applyAlignment="1">
      <alignment horizontal="center" vertical="top" wrapText="1"/>
    </xf>
    <xf numFmtId="168" fontId="1" fillId="0" borderId="0" xfId="0" applyNumberFormat="1" applyFont="1" applyAlignment="1">
      <alignment horizontal="center" vertical="top"/>
    </xf>
    <xf numFmtId="1" fontId="1" fillId="0" borderId="0" xfId="0" applyNumberFormat="1" applyFont="1" applyAlignment="1">
      <alignment horizontal="center" vertical="top" wrapText="1"/>
    </xf>
    <xf numFmtId="167" fontId="1" fillId="0" borderId="0" xfId="2" applyNumberFormat="1" applyFont="1" applyFill="1" applyBorder="1" applyAlignment="1">
      <alignment horizontal="center" vertical="top" wrapText="1"/>
    </xf>
    <xf numFmtId="0" fontId="1" fillId="0" borderId="4" xfId="0" applyFont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4" borderId="8" xfId="0" applyFont="1" applyFill="1" applyBorder="1"/>
    <xf numFmtId="0" fontId="3" fillId="4" borderId="8" xfId="0" applyFont="1" applyFill="1" applyBorder="1" applyAlignment="1">
      <alignment horizontal="center"/>
    </xf>
    <xf numFmtId="2" fontId="3" fillId="4" borderId="8" xfId="0" applyNumberFormat="1" applyFont="1" applyFill="1" applyBorder="1" applyAlignment="1">
      <alignment horizontal="center"/>
    </xf>
    <xf numFmtId="0" fontId="1" fillId="2" borderId="0" xfId="0" applyFont="1" applyFill="1"/>
    <xf numFmtId="165" fontId="1" fillId="0" borderId="0" xfId="0" applyNumberFormat="1" applyFont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S142"/>
  <sheetViews>
    <sheetView zoomScale="70" zoomScaleNormal="70" workbookViewId="0"/>
  </sheetViews>
  <sheetFormatPr defaultColWidth="8.7109375" defaultRowHeight="12.75"/>
  <cols>
    <col min="1" max="1" width="19.140625" style="7" customWidth="1"/>
    <col min="2" max="2" width="12.28515625" style="7" customWidth="1"/>
    <col min="3" max="3" width="10.85546875" style="7" customWidth="1"/>
    <col min="4" max="4" width="16.28515625" style="7" customWidth="1"/>
    <col min="5" max="5" width="10" style="7" customWidth="1"/>
    <col min="6" max="6" width="8.7109375" style="7"/>
    <col min="7" max="7" width="11.85546875" style="7" customWidth="1"/>
    <col min="8" max="8" width="8.7109375" style="7"/>
    <col min="9" max="9" width="10.85546875" style="7" customWidth="1"/>
    <col min="10" max="10" width="11.140625" style="7" customWidth="1"/>
    <col min="11" max="11" width="10.42578125" style="7" customWidth="1"/>
    <col min="12" max="12" width="13.85546875" style="7" customWidth="1"/>
    <col min="13" max="13" width="13.140625" style="7" customWidth="1"/>
    <col min="14" max="14" width="12.7109375" style="7" customWidth="1"/>
    <col min="15" max="15" width="13.140625" style="7" customWidth="1"/>
    <col min="16" max="16" width="8.7109375" style="7"/>
    <col min="17" max="17" width="10" style="11" customWidth="1"/>
    <col min="18" max="16384" width="8.7109375" style="7"/>
  </cols>
  <sheetData>
    <row r="2" spans="1:18">
      <c r="A2" s="139" t="s">
        <v>67</v>
      </c>
    </row>
    <row r="3" spans="1:18" ht="13.5" thickBot="1">
      <c r="B3" s="57"/>
      <c r="C3" s="57"/>
      <c r="D3" s="57"/>
      <c r="E3" s="57"/>
      <c r="F3" s="57"/>
      <c r="I3" s="57"/>
      <c r="J3" s="57"/>
      <c r="K3" s="57"/>
      <c r="M3" s="57"/>
      <c r="N3" s="11"/>
    </row>
    <row r="4" spans="1:18" ht="39" customHeight="1">
      <c r="A4" s="151" t="s">
        <v>0</v>
      </c>
      <c r="B4" s="67" t="s">
        <v>41</v>
      </c>
      <c r="C4" s="58" t="s">
        <v>54</v>
      </c>
      <c r="D4" s="153" t="s">
        <v>1</v>
      </c>
      <c r="E4" s="58" t="s">
        <v>52</v>
      </c>
      <c r="F4" s="67" t="s">
        <v>53</v>
      </c>
      <c r="G4" s="58" t="s">
        <v>55</v>
      </c>
      <c r="H4" s="67" t="s">
        <v>56</v>
      </c>
      <c r="I4" s="58" t="s">
        <v>57</v>
      </c>
      <c r="J4" s="153" t="s">
        <v>3</v>
      </c>
      <c r="K4" s="58" t="s">
        <v>66</v>
      </c>
      <c r="L4" s="67" t="s">
        <v>35</v>
      </c>
      <c r="M4" s="58" t="s">
        <v>4</v>
      </c>
      <c r="N4" s="64" t="s">
        <v>48</v>
      </c>
      <c r="O4" s="13" t="str">
        <f>M47</f>
        <v>EF, kg/hd/yr</v>
      </c>
      <c r="Q4" s="64" t="s">
        <v>51</v>
      </c>
    </row>
    <row r="5" spans="1:18" ht="13.5" thickBot="1">
      <c r="A5" s="152"/>
      <c r="B5" s="88"/>
      <c r="C5" s="59"/>
      <c r="D5" s="154"/>
      <c r="E5" s="59"/>
      <c r="F5" s="88"/>
      <c r="G5" s="59"/>
      <c r="H5" s="88"/>
      <c r="I5" s="59"/>
      <c r="J5" s="154"/>
      <c r="K5" s="14"/>
      <c r="L5" s="88"/>
      <c r="M5" s="14"/>
      <c r="N5" s="65"/>
      <c r="O5" s="16"/>
      <c r="Q5" s="65"/>
    </row>
    <row r="6" spans="1:18">
      <c r="A6" s="17" t="s">
        <v>19</v>
      </c>
      <c r="B6" s="147">
        <f>SUMPRODUCT(B7:B11,N7:N11)</f>
        <v>321.45</v>
      </c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37">
        <f>SUM(N7:N11)</f>
        <v>1</v>
      </c>
      <c r="O6" s="20">
        <f>SUMPRODUCT(N7:N11,O7:O11)</f>
        <v>83.626263992653591</v>
      </c>
      <c r="Q6" s="63"/>
    </row>
    <row r="7" spans="1:18">
      <c r="A7" s="22" t="s">
        <v>43</v>
      </c>
      <c r="B7" s="23">
        <v>560</v>
      </c>
      <c r="C7" s="23"/>
      <c r="D7" s="24" t="s">
        <v>44</v>
      </c>
      <c r="E7" s="25"/>
      <c r="F7" s="25"/>
      <c r="G7" s="21"/>
      <c r="H7" s="21"/>
      <c r="I7" s="23"/>
      <c r="J7" s="26"/>
      <c r="K7" s="27">
        <v>55</v>
      </c>
      <c r="L7" s="28">
        <v>0.12</v>
      </c>
      <c r="M7" s="29">
        <v>7.0000000000000007E-2</v>
      </c>
      <c r="N7" s="30">
        <v>0.01</v>
      </c>
      <c r="O7" s="31">
        <f>M50</f>
        <v>88.475787285335343</v>
      </c>
      <c r="Q7" s="21">
        <f>B7</f>
        <v>560</v>
      </c>
    </row>
    <row r="8" spans="1:18">
      <c r="A8" s="22" t="s">
        <v>45</v>
      </c>
      <c r="B8" s="23">
        <v>560</v>
      </c>
      <c r="C8" s="23"/>
      <c r="D8" s="24" t="s">
        <v>44</v>
      </c>
      <c r="E8" s="25"/>
      <c r="F8" s="25"/>
      <c r="G8" s="21"/>
      <c r="H8" s="21"/>
      <c r="I8" s="23">
        <v>1.37</v>
      </c>
      <c r="J8" s="26"/>
      <c r="K8" s="27">
        <v>55</v>
      </c>
      <c r="L8" s="28">
        <v>0.12</v>
      </c>
      <c r="M8" s="29">
        <v>7.0000000000000007E-2</v>
      </c>
      <c r="N8" s="30">
        <v>0.04</v>
      </c>
      <c r="O8" s="31">
        <f>M51</f>
        <v>86.013834562676195</v>
      </c>
      <c r="Q8" s="21">
        <f t="shared" ref="Q8:Q9" si="0">B8</f>
        <v>560</v>
      </c>
    </row>
    <row r="9" spans="1:18">
      <c r="A9" s="22" t="s">
        <v>46</v>
      </c>
      <c r="B9" s="23">
        <v>480</v>
      </c>
      <c r="C9" s="23"/>
      <c r="D9" s="24" t="s">
        <v>44</v>
      </c>
      <c r="E9" s="25">
        <v>4.8</v>
      </c>
      <c r="F9" s="32">
        <f>E9*365</f>
        <v>1752</v>
      </c>
      <c r="G9" s="21">
        <v>7.3</v>
      </c>
      <c r="H9" s="21">
        <v>3.5</v>
      </c>
      <c r="I9" s="23">
        <v>0.55000000000000004</v>
      </c>
      <c r="J9" s="26">
        <v>0.5</v>
      </c>
      <c r="K9" s="27">
        <v>55</v>
      </c>
      <c r="L9" s="28">
        <v>0.12</v>
      </c>
      <c r="M9" s="29">
        <v>7.0000000000000007E-2</v>
      </c>
      <c r="N9" s="30">
        <v>0.48</v>
      </c>
      <c r="O9" s="31">
        <f>M52</f>
        <v>127.01454562628722</v>
      </c>
      <c r="Q9" s="21">
        <f t="shared" si="0"/>
        <v>480</v>
      </c>
    </row>
    <row r="10" spans="1:18">
      <c r="A10" s="22" t="s">
        <v>58</v>
      </c>
      <c r="B10" s="23">
        <v>195</v>
      </c>
      <c r="C10" s="33">
        <v>0.31</v>
      </c>
      <c r="D10" s="24" t="s">
        <v>44</v>
      </c>
      <c r="E10" s="25"/>
      <c r="F10" s="25"/>
      <c r="G10" s="21"/>
      <c r="H10" s="21"/>
      <c r="I10" s="23"/>
      <c r="J10" s="26"/>
      <c r="K10" s="27">
        <v>59</v>
      </c>
      <c r="L10" s="28">
        <v>0.12</v>
      </c>
      <c r="M10" s="29">
        <v>7.0000000000000007E-2</v>
      </c>
      <c r="N10" s="30">
        <v>0.21</v>
      </c>
      <c r="O10" s="31">
        <f>M53</f>
        <v>44.533238119338741</v>
      </c>
      <c r="P10" s="34"/>
      <c r="Q10" s="31">
        <v>350</v>
      </c>
      <c r="R10" s="35"/>
    </row>
    <row r="11" spans="1:18">
      <c r="A11" s="22" t="s">
        <v>29</v>
      </c>
      <c r="B11" s="23">
        <v>85</v>
      </c>
      <c r="C11" s="33">
        <v>0.31</v>
      </c>
      <c r="D11" s="24" t="s">
        <v>44</v>
      </c>
      <c r="E11" s="25"/>
      <c r="F11" s="25"/>
      <c r="G11" s="21"/>
      <c r="H11" s="21"/>
      <c r="I11" s="23"/>
      <c r="J11" s="26"/>
      <c r="K11" s="27">
        <v>56</v>
      </c>
      <c r="L11" s="28">
        <v>0.12</v>
      </c>
      <c r="M11" s="36">
        <v>7.0000000000000007E-2</v>
      </c>
      <c r="N11" s="30">
        <v>0.26</v>
      </c>
      <c r="O11" s="31">
        <f>M54</f>
        <v>34.546118583131523</v>
      </c>
      <c r="P11" s="34"/>
      <c r="Q11" s="31">
        <v>140</v>
      </c>
      <c r="R11" s="35"/>
    </row>
    <row r="12" spans="1:18">
      <c r="A12" s="10" t="str">
        <f>A55</f>
        <v>Asia</v>
      </c>
      <c r="B12" s="148">
        <f>SUMPRODUCT(B13:B16,N13:N16)</f>
        <v>335.75</v>
      </c>
      <c r="C12" s="37"/>
      <c r="D12" s="38"/>
      <c r="E12" s="156"/>
      <c r="F12" s="156"/>
      <c r="G12" s="39"/>
      <c r="H12" s="39"/>
      <c r="I12" s="37"/>
      <c r="J12" s="40"/>
      <c r="K12" s="40"/>
      <c r="L12" s="41"/>
      <c r="M12" s="42"/>
      <c r="N12" s="108">
        <f>SUM(N13:N16)</f>
        <v>1</v>
      </c>
      <c r="O12" s="9">
        <f>SUMPRODUCT(N13:N16,O13:O16)</f>
        <v>76.48514462421403</v>
      </c>
      <c r="Q12" s="21"/>
      <c r="R12" s="35"/>
    </row>
    <row r="13" spans="1:18">
      <c r="A13" s="22" t="s">
        <v>47</v>
      </c>
      <c r="B13" s="23">
        <v>490</v>
      </c>
      <c r="C13" s="33"/>
      <c r="D13" s="24" t="s">
        <v>44</v>
      </c>
      <c r="E13" s="33"/>
      <c r="F13" s="33"/>
      <c r="G13" s="21"/>
      <c r="H13" s="21"/>
      <c r="I13" s="23">
        <v>1.1000000000000001</v>
      </c>
      <c r="J13" s="26"/>
      <c r="K13" s="32">
        <v>55</v>
      </c>
      <c r="L13" s="28">
        <v>0.1</v>
      </c>
      <c r="M13" s="36">
        <v>7.0000000000000007E-2</v>
      </c>
      <c r="N13" s="30">
        <v>0.2</v>
      </c>
      <c r="O13" s="31">
        <f>M56</f>
        <v>87.569845500773866</v>
      </c>
      <c r="Q13" s="21">
        <f>B13</f>
        <v>490</v>
      </c>
    </row>
    <row r="14" spans="1:18">
      <c r="A14" s="22" t="s">
        <v>46</v>
      </c>
      <c r="B14" s="23">
        <v>420</v>
      </c>
      <c r="C14" s="33"/>
      <c r="D14" s="24" t="s">
        <v>44</v>
      </c>
      <c r="E14" s="33">
        <v>1.6</v>
      </c>
      <c r="F14" s="32">
        <f>E14*365</f>
        <v>584</v>
      </c>
      <c r="G14" s="21">
        <v>9.1</v>
      </c>
      <c r="H14" s="21">
        <v>5.2</v>
      </c>
      <c r="I14" s="23">
        <v>1.1000000000000001</v>
      </c>
      <c r="J14" s="26">
        <v>0.45</v>
      </c>
      <c r="K14" s="32">
        <v>55</v>
      </c>
      <c r="L14" s="28">
        <v>0.1</v>
      </c>
      <c r="M14" s="36">
        <v>7.0000000000000007E-2</v>
      </c>
      <c r="N14" s="30">
        <v>0.4</v>
      </c>
      <c r="O14" s="31">
        <f>M57</f>
        <v>98.759075770658697</v>
      </c>
      <c r="Q14" s="21">
        <f>B14</f>
        <v>420</v>
      </c>
    </row>
    <row r="15" spans="1:18">
      <c r="A15" s="22" t="s">
        <v>58</v>
      </c>
      <c r="B15" s="23">
        <v>225</v>
      </c>
      <c r="C15" s="33">
        <v>0.26</v>
      </c>
      <c r="D15" s="24" t="s">
        <v>44</v>
      </c>
      <c r="E15" s="33"/>
      <c r="F15" s="33"/>
      <c r="G15" s="21"/>
      <c r="H15" s="21"/>
      <c r="I15" s="23"/>
      <c r="J15" s="26"/>
      <c r="K15" s="32">
        <v>55</v>
      </c>
      <c r="L15" s="28">
        <v>0.1</v>
      </c>
      <c r="M15" s="36">
        <v>7.0000000000000007E-2</v>
      </c>
      <c r="N15" s="30">
        <v>0.25</v>
      </c>
      <c r="O15" s="31">
        <f>M58</f>
        <v>55.522074523026482</v>
      </c>
      <c r="Q15" s="21">
        <v>300</v>
      </c>
    </row>
    <row r="16" spans="1:18">
      <c r="A16" s="22" t="s">
        <v>29</v>
      </c>
      <c r="B16" s="23">
        <v>90</v>
      </c>
      <c r="C16" s="33">
        <v>0.32</v>
      </c>
      <c r="D16" s="24" t="s">
        <v>44</v>
      </c>
      <c r="E16" s="33"/>
      <c r="F16" s="33"/>
      <c r="G16" s="21"/>
      <c r="H16" s="21"/>
      <c r="I16" s="23"/>
      <c r="J16" s="26"/>
      <c r="K16" s="32">
        <v>55</v>
      </c>
      <c r="L16" s="28">
        <v>0.1</v>
      </c>
      <c r="M16" s="36">
        <v>7.0000000000000007E-2</v>
      </c>
      <c r="N16" s="30">
        <v>0.15</v>
      </c>
      <c r="O16" s="31">
        <f>M59</f>
        <v>37.246843900261041</v>
      </c>
      <c r="Q16" s="21">
        <v>150</v>
      </c>
    </row>
    <row r="17" spans="1:19">
      <c r="A17" s="10" t="str">
        <f>A60</f>
        <v>Latin America</v>
      </c>
      <c r="B17" s="149">
        <f>SUMPRODUCT(B18:B21,N18:N21)</f>
        <v>315.39999999999998</v>
      </c>
      <c r="C17" s="39"/>
      <c r="D17" s="39" t="s">
        <v>26</v>
      </c>
      <c r="E17" s="39"/>
      <c r="F17" s="39"/>
      <c r="G17" s="39"/>
      <c r="H17" s="39"/>
      <c r="I17" s="39"/>
      <c r="J17" s="39"/>
      <c r="K17" s="39"/>
      <c r="L17" s="41"/>
      <c r="M17" s="39"/>
      <c r="N17" s="108">
        <f>SUM(N18:N21)</f>
        <v>1</v>
      </c>
      <c r="O17" s="9">
        <f>SUMPRODUCT(N18:N21,O18:O21)</f>
        <v>67.562508101975169</v>
      </c>
      <c r="Q17" s="21"/>
    </row>
    <row r="18" spans="1:19">
      <c r="A18" s="22" t="s">
        <v>47</v>
      </c>
      <c r="B18" s="23">
        <v>650</v>
      </c>
      <c r="C18" s="23"/>
      <c r="D18" s="21" t="s">
        <v>44</v>
      </c>
      <c r="E18" s="25"/>
      <c r="F18" s="25"/>
      <c r="G18" s="21"/>
      <c r="H18" s="21"/>
      <c r="I18" s="23"/>
      <c r="J18" s="26"/>
      <c r="K18" s="43">
        <v>60</v>
      </c>
      <c r="L18" s="28">
        <v>0.11</v>
      </c>
      <c r="M18" s="36">
        <v>7.0000000000000007E-2</v>
      </c>
      <c r="N18" s="30">
        <v>0.04</v>
      </c>
      <c r="O18" s="31">
        <f>M61</f>
        <v>86.202606045559108</v>
      </c>
      <c r="Q18" s="21">
        <f>B18</f>
        <v>650</v>
      </c>
    </row>
    <row r="19" spans="1:19">
      <c r="A19" s="22" t="s">
        <v>46</v>
      </c>
      <c r="B19" s="21">
        <v>500</v>
      </c>
      <c r="C19" s="21"/>
      <c r="D19" s="21" t="s">
        <v>44</v>
      </c>
      <c r="E19" s="21">
        <v>4.2</v>
      </c>
      <c r="F19" s="32">
        <f>E19*365</f>
        <v>1533</v>
      </c>
      <c r="G19" s="21">
        <v>7.1</v>
      </c>
      <c r="H19" s="21">
        <v>4.3</v>
      </c>
      <c r="I19" s="21"/>
      <c r="J19" s="138">
        <v>0.62</v>
      </c>
      <c r="K19" s="31">
        <v>60</v>
      </c>
      <c r="L19" s="28">
        <v>0.11</v>
      </c>
      <c r="M19" s="28">
        <v>7.0000000000000007E-2</v>
      </c>
      <c r="N19" s="30">
        <v>0.4</v>
      </c>
      <c r="O19" s="31">
        <f>M62</f>
        <v>105.78201388304018</v>
      </c>
      <c r="Q19" s="21">
        <f>B19</f>
        <v>500</v>
      </c>
    </row>
    <row r="20" spans="1:19">
      <c r="A20" s="22" t="s">
        <v>58</v>
      </c>
      <c r="B20" s="23">
        <v>240</v>
      </c>
      <c r="C20" s="33">
        <v>0.4</v>
      </c>
      <c r="D20" s="21" t="s">
        <v>44</v>
      </c>
      <c r="E20" s="25"/>
      <c r="F20" s="25"/>
      <c r="G20" s="21"/>
      <c r="H20" s="21"/>
      <c r="I20" s="23"/>
      <c r="J20" s="26"/>
      <c r="K20" s="43">
        <v>60</v>
      </c>
      <c r="L20" s="28">
        <v>0.11</v>
      </c>
      <c r="M20" s="36">
        <v>7.0000000000000007E-2</v>
      </c>
      <c r="N20" s="30">
        <v>0.26</v>
      </c>
      <c r="O20" s="31">
        <f>M63</f>
        <v>53.744223485387607</v>
      </c>
      <c r="P20" s="5"/>
      <c r="Q20" s="21">
        <v>390</v>
      </c>
      <c r="S20" s="44"/>
    </row>
    <row r="21" spans="1:19">
      <c r="A21" s="22" t="s">
        <v>29</v>
      </c>
      <c r="B21" s="23">
        <v>90</v>
      </c>
      <c r="C21" s="23">
        <v>0.28000000000000003</v>
      </c>
      <c r="D21" s="21" t="s">
        <v>44</v>
      </c>
      <c r="E21" s="25"/>
      <c r="F21" s="25"/>
      <c r="G21" s="21"/>
      <c r="H21" s="21"/>
      <c r="I21" s="23"/>
      <c r="J21" s="26"/>
      <c r="K21" s="43">
        <v>60</v>
      </c>
      <c r="L21" s="28">
        <v>0.11</v>
      </c>
      <c r="M21" s="36">
        <v>7.0000000000000007E-2</v>
      </c>
      <c r="N21" s="30">
        <v>0.3</v>
      </c>
      <c r="O21" s="31">
        <f>M64</f>
        <v>26.093667335786499</v>
      </c>
      <c r="Q21" s="31">
        <v>220</v>
      </c>
      <c r="S21" s="44"/>
    </row>
    <row r="22" spans="1:19">
      <c r="A22" s="10" t="str">
        <f>A65</f>
        <v>Africa</v>
      </c>
      <c r="B22" s="149">
        <f>SUMPRODUCT(B23:B26,N23:N26)</f>
        <v>339.2</v>
      </c>
      <c r="C22" s="39"/>
      <c r="D22" s="39"/>
      <c r="E22" s="39"/>
      <c r="F22" s="39"/>
      <c r="G22" s="39"/>
      <c r="H22" s="39"/>
      <c r="I22" s="39"/>
      <c r="J22" s="39"/>
      <c r="K22" s="39"/>
      <c r="L22" s="41"/>
      <c r="M22" s="39"/>
      <c r="N22" s="108">
        <f>SUM(N23:N26)</f>
        <v>1</v>
      </c>
      <c r="O22" s="9">
        <f>SUMPRODUCT(N23:N26,O23:O26)</f>
        <v>80.971050777280198</v>
      </c>
      <c r="Q22" s="21"/>
    </row>
    <row r="23" spans="1:19">
      <c r="A23" s="22" t="s">
        <v>47</v>
      </c>
      <c r="B23" s="21">
        <v>590</v>
      </c>
      <c r="C23" s="21"/>
      <c r="D23" s="24" t="s">
        <v>44</v>
      </c>
      <c r="E23" s="21"/>
      <c r="F23" s="21"/>
      <c r="G23" s="21"/>
      <c r="H23" s="21"/>
      <c r="I23" s="23">
        <v>1.37</v>
      </c>
      <c r="J23" s="21"/>
      <c r="K23" s="31">
        <v>58</v>
      </c>
      <c r="L23" s="28">
        <v>0.1</v>
      </c>
      <c r="M23" s="28">
        <v>7.0000000000000007E-2</v>
      </c>
      <c r="N23" s="30">
        <v>0.06</v>
      </c>
      <c r="O23" s="31">
        <f>M66</f>
        <v>94.368055289953716</v>
      </c>
      <c r="Q23" s="21">
        <f>B23</f>
        <v>590</v>
      </c>
    </row>
    <row r="24" spans="1:19">
      <c r="A24" s="22" t="s">
        <v>46</v>
      </c>
      <c r="B24" s="21">
        <v>440</v>
      </c>
      <c r="C24" s="21"/>
      <c r="D24" s="24" t="s">
        <v>44</v>
      </c>
      <c r="E24" s="21">
        <v>4.3</v>
      </c>
      <c r="F24" s="32">
        <f>E24*365</f>
        <v>1569.5</v>
      </c>
      <c r="G24" s="21">
        <v>7.2</v>
      </c>
      <c r="H24" s="21">
        <v>3.7</v>
      </c>
      <c r="I24" s="23">
        <v>0.55000000000000004</v>
      </c>
      <c r="J24" s="30">
        <v>0.44</v>
      </c>
      <c r="K24" s="31">
        <v>58</v>
      </c>
      <c r="L24" s="28">
        <v>0.1</v>
      </c>
      <c r="M24" s="28">
        <v>7.0000000000000007E-2</v>
      </c>
      <c r="N24" s="30">
        <v>0.42</v>
      </c>
      <c r="O24" s="31">
        <f>M67</f>
        <v>107.19977089964055</v>
      </c>
      <c r="Q24" s="21">
        <f>B24</f>
        <v>440</v>
      </c>
    </row>
    <row r="25" spans="1:19">
      <c r="A25" s="22" t="s">
        <v>58</v>
      </c>
      <c r="B25" s="21">
        <v>300</v>
      </c>
      <c r="C25" s="45">
        <v>0.4</v>
      </c>
      <c r="D25" s="21" t="s">
        <v>44</v>
      </c>
      <c r="E25" s="21"/>
      <c r="F25" s="21"/>
      <c r="G25" s="21"/>
      <c r="H25" s="21"/>
      <c r="I25" s="21"/>
      <c r="J25" s="21"/>
      <c r="K25" s="31">
        <v>58</v>
      </c>
      <c r="L25" s="28">
        <v>0.1</v>
      </c>
      <c r="M25" s="28">
        <v>7.0000000000000007E-2</v>
      </c>
      <c r="N25" s="30">
        <v>0.32</v>
      </c>
      <c r="O25" s="31">
        <f>M68</f>
        <v>67.741284580993891</v>
      </c>
      <c r="P25" s="34"/>
      <c r="Q25" s="31">
        <v>390</v>
      </c>
    </row>
    <row r="26" spans="1:19">
      <c r="A26" s="22" t="s">
        <v>29</v>
      </c>
      <c r="B26" s="21">
        <v>115</v>
      </c>
      <c r="C26" s="45">
        <v>0.45</v>
      </c>
      <c r="D26" s="21" t="s">
        <v>44</v>
      </c>
      <c r="E26" s="21"/>
      <c r="F26" s="21"/>
      <c r="G26" s="21"/>
      <c r="H26" s="21"/>
      <c r="I26" s="21"/>
      <c r="J26" s="21"/>
      <c r="K26" s="31">
        <v>58</v>
      </c>
      <c r="L26" s="28">
        <v>0.1</v>
      </c>
      <c r="M26" s="28">
        <v>7.0000000000000007E-2</v>
      </c>
      <c r="N26" s="30">
        <v>0.2</v>
      </c>
      <c r="O26" s="31">
        <f>M69</f>
        <v>43.039263080579559</v>
      </c>
      <c r="P26" s="34"/>
      <c r="Q26" s="31">
        <v>200</v>
      </c>
    </row>
    <row r="27" spans="1:19">
      <c r="A27" s="10" t="str">
        <f>A70</f>
        <v>Middle East</v>
      </c>
      <c r="B27" s="149">
        <f>SUMPRODUCT(B28:B31,N28:N31)</f>
        <v>381.05000000000007</v>
      </c>
      <c r="C27" s="39"/>
      <c r="D27" s="39"/>
      <c r="E27" s="39"/>
      <c r="F27" s="39"/>
      <c r="G27" s="39"/>
      <c r="H27" s="39"/>
      <c r="I27" s="39"/>
      <c r="J27" s="39"/>
      <c r="K27" s="40"/>
      <c r="L27" s="157"/>
      <c r="M27" s="39"/>
      <c r="N27" s="108">
        <f>SUM(N28:N31)</f>
        <v>1</v>
      </c>
      <c r="O27" s="9">
        <f>SUMPRODUCT(O28:O31,N28:N31)</f>
        <v>67.377521533162792</v>
      </c>
      <c r="Q27" s="21"/>
    </row>
    <row r="28" spans="1:19">
      <c r="A28" s="22" t="s">
        <v>47</v>
      </c>
      <c r="B28" s="23">
        <v>650</v>
      </c>
      <c r="C28" s="23"/>
      <c r="D28" s="24" t="s">
        <v>44</v>
      </c>
      <c r="E28" s="25"/>
      <c r="F28" s="25"/>
      <c r="G28" s="21"/>
      <c r="H28" s="21"/>
      <c r="I28" s="23">
        <v>1.37</v>
      </c>
      <c r="J28" s="26"/>
      <c r="K28" s="43">
        <v>60</v>
      </c>
      <c r="L28" s="28">
        <v>0.11</v>
      </c>
      <c r="M28" s="36">
        <v>7.0000000000000007E-2</v>
      </c>
      <c r="N28" s="30">
        <v>0.05</v>
      </c>
      <c r="O28" s="31">
        <f>M71</f>
        <v>96.296415471406632</v>
      </c>
      <c r="Q28" s="21">
        <f>B28</f>
        <v>650</v>
      </c>
    </row>
    <row r="29" spans="1:19">
      <c r="A29" s="22" t="s">
        <v>46</v>
      </c>
      <c r="B29" s="23">
        <v>520</v>
      </c>
      <c r="C29" s="23"/>
      <c r="D29" s="24" t="s">
        <v>44</v>
      </c>
      <c r="E29" s="25">
        <v>3</v>
      </c>
      <c r="F29" s="32">
        <f>E29*365</f>
        <v>1095</v>
      </c>
      <c r="G29" s="50">
        <v>7</v>
      </c>
      <c r="H29" s="21">
        <v>4.2</v>
      </c>
      <c r="I29" s="23">
        <v>0.55000000000000004</v>
      </c>
      <c r="J29" s="26">
        <v>0.65</v>
      </c>
      <c r="K29" s="43">
        <v>65</v>
      </c>
      <c r="L29" s="28">
        <v>0.11</v>
      </c>
      <c r="M29" s="36">
        <v>6.3E-2</v>
      </c>
      <c r="N29" s="30">
        <v>0.52</v>
      </c>
      <c r="O29" s="31">
        <f>M72</f>
        <v>82.932676236737123</v>
      </c>
      <c r="Q29" s="21">
        <f>B29</f>
        <v>520</v>
      </c>
      <c r="S29" s="46"/>
    </row>
    <row r="30" spans="1:19">
      <c r="A30" s="22" t="s">
        <v>58</v>
      </c>
      <c r="B30" s="21">
        <v>255</v>
      </c>
      <c r="C30" s="45">
        <v>0.39</v>
      </c>
      <c r="D30" s="24" t="s">
        <v>44</v>
      </c>
      <c r="E30" s="47"/>
      <c r="F30" s="47"/>
      <c r="G30" s="47"/>
      <c r="H30" s="47"/>
      <c r="I30" s="47"/>
      <c r="J30" s="47"/>
      <c r="K30" s="43">
        <v>61</v>
      </c>
      <c r="L30" s="28">
        <v>0.11</v>
      </c>
      <c r="M30" s="28">
        <v>7.0000000000000007E-2</v>
      </c>
      <c r="N30" s="30">
        <v>0.22</v>
      </c>
      <c r="O30" s="31">
        <f>M73</f>
        <v>54.074985822832907</v>
      </c>
      <c r="P30" s="34"/>
      <c r="Q30" s="31">
        <v>390</v>
      </c>
      <c r="R30" s="11"/>
    </row>
    <row r="31" spans="1:19">
      <c r="A31" s="22" t="s">
        <v>29</v>
      </c>
      <c r="B31" s="21">
        <v>105</v>
      </c>
      <c r="C31" s="45">
        <v>0.41</v>
      </c>
      <c r="D31" s="24" t="s">
        <v>44</v>
      </c>
      <c r="E31" s="47"/>
      <c r="F31" s="47"/>
      <c r="G31" s="47"/>
      <c r="H31" s="47"/>
      <c r="I31" s="47"/>
      <c r="J31" s="47"/>
      <c r="K31" s="43">
        <v>61</v>
      </c>
      <c r="L31" s="28">
        <v>0.11</v>
      </c>
      <c r="M31" s="28">
        <v>7.0000000000000007E-2</v>
      </c>
      <c r="N31" s="30">
        <v>0.21</v>
      </c>
      <c r="O31" s="31">
        <f>M74</f>
        <v>35.910534454599585</v>
      </c>
      <c r="P31" s="34"/>
      <c r="Q31" s="31">
        <v>180</v>
      </c>
    </row>
    <row r="32" spans="1:19">
      <c r="A32" s="10" t="s">
        <v>24</v>
      </c>
      <c r="B32" s="149">
        <f>SUMPRODUCT(B33:B36,N33:N36)</f>
        <v>509.45</v>
      </c>
      <c r="C32" s="48"/>
      <c r="D32" s="39"/>
      <c r="E32" s="39"/>
      <c r="F32" s="39"/>
      <c r="G32" s="39"/>
      <c r="H32" s="39"/>
      <c r="I32" s="39"/>
      <c r="J32" s="39"/>
      <c r="K32" s="48"/>
      <c r="L32" s="41"/>
      <c r="M32" s="39"/>
      <c r="N32" s="108">
        <f>SUM(N33:N36)</f>
        <v>1</v>
      </c>
      <c r="O32" s="9">
        <f>SUMPRODUCT(N33:N36,O33:O36)</f>
        <v>69.99916241637618</v>
      </c>
      <c r="P32" s="49"/>
      <c r="Q32" s="21"/>
    </row>
    <row r="33" spans="1:19">
      <c r="A33" s="22" t="s">
        <v>47</v>
      </c>
      <c r="B33" s="21">
        <v>650</v>
      </c>
      <c r="C33" s="45"/>
      <c r="D33" s="21" t="s">
        <v>86</v>
      </c>
      <c r="E33" s="21"/>
      <c r="F33" s="21"/>
      <c r="G33" s="21"/>
      <c r="H33" s="21"/>
      <c r="I33" s="21"/>
      <c r="J33" s="21"/>
      <c r="K33" s="31">
        <v>65</v>
      </c>
      <c r="L33" s="28">
        <v>0.14000000000000001</v>
      </c>
      <c r="M33" s="28">
        <v>6.3E-2</v>
      </c>
      <c r="N33" s="30">
        <v>0.03</v>
      </c>
      <c r="O33" s="31">
        <f>M76</f>
        <v>58.928721231500127</v>
      </c>
      <c r="P33" s="49"/>
      <c r="Q33" s="21">
        <f>B33</f>
        <v>650</v>
      </c>
    </row>
    <row r="34" spans="1:19">
      <c r="A34" s="22" t="s">
        <v>46</v>
      </c>
      <c r="B34" s="21">
        <v>615</v>
      </c>
      <c r="C34" s="45"/>
      <c r="D34" s="21" t="s">
        <v>86</v>
      </c>
      <c r="E34" s="50">
        <v>3</v>
      </c>
      <c r="F34" s="32">
        <f>E34*365</f>
        <v>1095</v>
      </c>
      <c r="G34" s="50">
        <v>8</v>
      </c>
      <c r="H34" s="21">
        <v>4.5999999999999996</v>
      </c>
      <c r="I34" s="21"/>
      <c r="J34" s="30">
        <v>0.86499999999999999</v>
      </c>
      <c r="K34" s="31">
        <v>65</v>
      </c>
      <c r="L34" s="28">
        <v>0.15</v>
      </c>
      <c r="M34" s="28">
        <v>6.3E-2</v>
      </c>
      <c r="N34" s="30">
        <v>0.59</v>
      </c>
      <c r="O34" s="31">
        <f>M77</f>
        <v>81.411879905166217</v>
      </c>
      <c r="P34" s="49"/>
      <c r="Q34" s="21">
        <f>B34</f>
        <v>615</v>
      </c>
      <c r="S34" s="49">
        <f>F34/365</f>
        <v>3</v>
      </c>
    </row>
    <row r="35" spans="1:19">
      <c r="A35" s="22" t="s">
        <v>58</v>
      </c>
      <c r="B35" s="21">
        <v>420</v>
      </c>
      <c r="C35" s="45">
        <v>0.53</v>
      </c>
      <c r="D35" s="21" t="s">
        <v>86</v>
      </c>
      <c r="E35" s="50"/>
      <c r="F35" s="50"/>
      <c r="G35" s="21"/>
      <c r="H35" s="21"/>
      <c r="I35" s="21"/>
      <c r="J35" s="21"/>
      <c r="K35" s="31">
        <v>65</v>
      </c>
      <c r="L35" s="28">
        <v>0.14000000000000001</v>
      </c>
      <c r="M35" s="28">
        <v>6.3E-2</v>
      </c>
      <c r="N35" s="30">
        <v>0.25</v>
      </c>
      <c r="O35" s="31">
        <f>M78</f>
        <v>58.798736325048935</v>
      </c>
      <c r="P35" s="49"/>
      <c r="Q35" s="31">
        <v>550</v>
      </c>
    </row>
    <row r="36" spans="1:19">
      <c r="A36" s="22" t="s">
        <v>29</v>
      </c>
      <c r="B36" s="21">
        <v>170</v>
      </c>
      <c r="C36" s="45">
        <v>0.68</v>
      </c>
      <c r="D36" s="21" t="s">
        <v>86</v>
      </c>
      <c r="E36" s="50"/>
      <c r="F36" s="50"/>
      <c r="G36" s="21"/>
      <c r="H36" s="21"/>
      <c r="I36" s="21"/>
      <c r="J36" s="21"/>
      <c r="K36" s="31">
        <v>65</v>
      </c>
      <c r="L36" s="28">
        <v>0.14000000000000001</v>
      </c>
      <c r="M36" s="28">
        <v>6.3E-2</v>
      </c>
      <c r="N36" s="30">
        <v>0.13</v>
      </c>
      <c r="O36" s="31">
        <f>M79</f>
        <v>42.296981185545128</v>
      </c>
      <c r="P36" s="49"/>
      <c r="Q36" s="31">
        <v>290</v>
      </c>
    </row>
    <row r="37" spans="1:19">
      <c r="A37" s="51" t="s">
        <v>25</v>
      </c>
      <c r="B37" s="150">
        <f>SUMPRODUCT(B38:B41,N38:N41)</f>
        <v>466.8</v>
      </c>
      <c r="C37" s="52"/>
      <c r="D37" s="19"/>
      <c r="E37" s="53"/>
      <c r="F37" s="53"/>
      <c r="G37" s="39"/>
      <c r="H37" s="39"/>
      <c r="I37" s="39"/>
      <c r="J37" s="39"/>
      <c r="K37" s="48"/>
      <c r="L37" s="41"/>
      <c r="M37" s="39"/>
      <c r="N37" s="137">
        <f>SUM(N38:N41)</f>
        <v>1</v>
      </c>
      <c r="O37" s="20">
        <f>SUMPRODUCT(N38:N41,O38:O41)</f>
        <v>67.620485326295579</v>
      </c>
      <c r="P37" s="49"/>
      <c r="Q37" s="31"/>
    </row>
    <row r="38" spans="1:19">
      <c r="A38" s="22" t="s">
        <v>47</v>
      </c>
      <c r="B38" s="21">
        <v>650</v>
      </c>
      <c r="C38" s="45"/>
      <c r="D38" s="21" t="s">
        <v>44</v>
      </c>
      <c r="E38" s="50"/>
      <c r="F38" s="50"/>
      <c r="G38" s="21"/>
      <c r="H38" s="21"/>
      <c r="I38" s="21"/>
      <c r="J38" s="21"/>
      <c r="K38" s="31">
        <v>71</v>
      </c>
      <c r="L38" s="28">
        <v>0.13</v>
      </c>
      <c r="M38" s="28">
        <v>6.3E-2</v>
      </c>
      <c r="N38" s="30">
        <v>0.08</v>
      </c>
      <c r="O38" s="31">
        <f>M81</f>
        <v>61.022918438340135</v>
      </c>
      <c r="P38" s="49"/>
      <c r="Q38" s="31">
        <f>B38</f>
        <v>650</v>
      </c>
    </row>
    <row r="39" spans="1:19">
      <c r="A39" s="22" t="s">
        <v>46</v>
      </c>
      <c r="B39" s="21">
        <v>550</v>
      </c>
      <c r="C39" s="45"/>
      <c r="D39" s="21" t="s">
        <v>44</v>
      </c>
      <c r="E39" s="50">
        <v>4</v>
      </c>
      <c r="F39" s="32">
        <f>E39*365</f>
        <v>1460</v>
      </c>
      <c r="G39" s="21">
        <v>7.5</v>
      </c>
      <c r="H39" s="21">
        <v>4.3</v>
      </c>
      <c r="I39" s="21"/>
      <c r="J39" s="30">
        <v>0.85</v>
      </c>
      <c r="K39" s="31">
        <v>71</v>
      </c>
      <c r="L39" s="28">
        <v>0.13</v>
      </c>
      <c r="M39" s="28">
        <v>6.3E-2</v>
      </c>
      <c r="N39" s="30">
        <v>0.62</v>
      </c>
      <c r="O39" s="31">
        <f>M82</f>
        <v>79.824216099211455</v>
      </c>
      <c r="P39" s="49"/>
      <c r="Q39" s="31">
        <f>B39</f>
        <v>550</v>
      </c>
      <c r="S39" s="49">
        <f>F39/365</f>
        <v>4</v>
      </c>
    </row>
    <row r="40" spans="1:19">
      <c r="A40" s="22" t="s">
        <v>58</v>
      </c>
      <c r="B40" s="21">
        <v>350</v>
      </c>
      <c r="C40" s="45">
        <v>0.55000000000000004</v>
      </c>
      <c r="D40" s="21" t="s">
        <v>44</v>
      </c>
      <c r="E40" s="21"/>
      <c r="F40" s="21"/>
      <c r="G40" s="21"/>
      <c r="H40" s="21"/>
      <c r="I40" s="21"/>
      <c r="J40" s="21"/>
      <c r="K40" s="31">
        <v>71</v>
      </c>
      <c r="L40" s="28">
        <v>0.13</v>
      </c>
      <c r="M40" s="28">
        <v>6.3E-2</v>
      </c>
      <c r="N40" s="30">
        <v>0.14000000000000001</v>
      </c>
      <c r="O40" s="31">
        <f>M83</f>
        <v>52.716735953120754</v>
      </c>
      <c r="P40" s="49"/>
      <c r="Q40" s="31">
        <v>450</v>
      </c>
    </row>
    <row r="41" spans="1:19">
      <c r="A41" s="22" t="s">
        <v>29</v>
      </c>
      <c r="B41" s="21">
        <v>155</v>
      </c>
      <c r="C41" s="45">
        <v>0.66</v>
      </c>
      <c r="D41" s="21" t="s">
        <v>44</v>
      </c>
      <c r="E41" s="21"/>
      <c r="F41" s="21"/>
      <c r="G41" s="21"/>
      <c r="H41" s="21"/>
      <c r="I41" s="21"/>
      <c r="J41" s="21"/>
      <c r="K41" s="31">
        <v>71</v>
      </c>
      <c r="L41" s="28">
        <v>0.13</v>
      </c>
      <c r="M41" s="28">
        <v>6.3E-2</v>
      </c>
      <c r="N41" s="30">
        <v>0.16</v>
      </c>
      <c r="O41" s="31">
        <f>M84</f>
        <v>36.67059272675224</v>
      </c>
      <c r="P41" s="49"/>
      <c r="Q41" s="31">
        <v>275</v>
      </c>
    </row>
    <row r="42" spans="1:19"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</row>
    <row r="43" spans="1:19">
      <c r="B43" s="140"/>
      <c r="C43" s="140"/>
      <c r="D43" s="140"/>
      <c r="E43" s="140"/>
      <c r="F43" s="140"/>
      <c r="G43" s="140"/>
      <c r="H43" s="140"/>
      <c r="I43" s="140"/>
      <c r="J43" s="140"/>
      <c r="K43" s="140"/>
    </row>
    <row r="44" spans="1:19">
      <c r="B44" s="141"/>
      <c r="C44" s="141"/>
      <c r="D44" s="142"/>
      <c r="E44" s="141"/>
      <c r="F44" s="141"/>
      <c r="G44" s="142"/>
      <c r="H44" s="141"/>
      <c r="I44" s="142"/>
      <c r="J44" s="143"/>
      <c r="K44" s="143"/>
    </row>
    <row r="46" spans="1:19" ht="13.5" thickBot="1">
      <c r="A46" s="139" t="s">
        <v>68</v>
      </c>
      <c r="B46" s="57"/>
      <c r="D46" s="57"/>
      <c r="E46" s="57"/>
      <c r="F46" s="57"/>
      <c r="H46" s="57"/>
      <c r="I46" s="57"/>
      <c r="J46" s="57"/>
      <c r="K46" s="60"/>
      <c r="L46" s="57"/>
      <c r="M46" s="57"/>
      <c r="O46" s="3"/>
      <c r="Q46" s="7"/>
    </row>
    <row r="47" spans="1:19">
      <c r="A47" s="69" t="s">
        <v>0</v>
      </c>
      <c r="B47" s="67" t="s">
        <v>5</v>
      </c>
      <c r="C47" s="70"/>
      <c r="D47" s="67" t="s">
        <v>6</v>
      </c>
      <c r="E47" s="58" t="s">
        <v>7</v>
      </c>
      <c r="F47" s="67"/>
      <c r="G47" s="58" t="s">
        <v>8</v>
      </c>
      <c r="H47" s="67" t="s">
        <v>2</v>
      </c>
      <c r="I47" s="58" t="s">
        <v>9</v>
      </c>
      <c r="J47" s="67" t="s">
        <v>18</v>
      </c>
      <c r="K47" s="58" t="s">
        <v>59</v>
      </c>
      <c r="L47" s="67" t="s">
        <v>10</v>
      </c>
      <c r="M47" s="71" t="s">
        <v>11</v>
      </c>
      <c r="O47" s="67" t="s">
        <v>12</v>
      </c>
      <c r="Q47" s="7"/>
    </row>
    <row r="48" spans="1:19" ht="15" customHeight="1" thickBot="1">
      <c r="A48" s="72"/>
      <c r="B48" s="76" t="s">
        <v>69</v>
      </c>
      <c r="C48" s="74"/>
      <c r="D48" s="76" t="s">
        <v>69</v>
      </c>
      <c r="E48" s="74" t="s">
        <v>70</v>
      </c>
      <c r="F48" s="77"/>
      <c r="G48" s="73" t="s">
        <v>71</v>
      </c>
      <c r="H48" s="76" t="s">
        <v>72</v>
      </c>
      <c r="I48" s="74" t="s">
        <v>73</v>
      </c>
      <c r="J48" s="76" t="s">
        <v>74</v>
      </c>
      <c r="K48" s="74" t="s">
        <v>75</v>
      </c>
      <c r="L48" s="77" t="s">
        <v>76</v>
      </c>
      <c r="M48" s="75" t="s">
        <v>13</v>
      </c>
      <c r="O48" s="68" t="s">
        <v>14</v>
      </c>
      <c r="Q48" s="7"/>
    </row>
    <row r="49" spans="1:17">
      <c r="A49" s="51" t="s">
        <v>19</v>
      </c>
      <c r="B49" s="158"/>
      <c r="C49" s="19"/>
      <c r="D49" s="158"/>
      <c r="E49" s="159"/>
      <c r="F49" s="19"/>
      <c r="G49" s="158"/>
      <c r="H49" s="158"/>
      <c r="I49" s="158"/>
      <c r="J49" s="158"/>
      <c r="K49" s="158"/>
      <c r="L49" s="158"/>
      <c r="M49" s="160"/>
      <c r="O49" s="155"/>
      <c r="Q49" s="7"/>
    </row>
    <row r="50" spans="1:17">
      <c r="A50" s="22" t="s">
        <v>27</v>
      </c>
      <c r="B50" s="78">
        <f>C50*B7^0.75</f>
        <v>42.593442710893854</v>
      </c>
      <c r="C50" s="66">
        <v>0.37</v>
      </c>
      <c r="D50" s="79">
        <f>IF(D7="Stall fed",0,0.17*B50)</f>
        <v>7.2408852608519556</v>
      </c>
      <c r="E50" s="80">
        <f>IF(C7=0,0,26.04*C7^1.097)</f>
        <v>0</v>
      </c>
      <c r="F50" s="21">
        <v>1.2</v>
      </c>
      <c r="G50" s="79">
        <f>E7*(1.47+0.4*G7)</f>
        <v>0</v>
      </c>
      <c r="H50" s="79">
        <f>0.1*B50*I7</f>
        <v>0</v>
      </c>
      <c r="I50" s="79">
        <f>0.1*B50*J7</f>
        <v>0</v>
      </c>
      <c r="J50" s="78">
        <f>1.123-(4.092*10^-3*K7)+(1.126*10^-5*K7^2)-(25.4/K7)</f>
        <v>0.47018331818181813</v>
      </c>
      <c r="K50" s="78">
        <f>1.164-(5.16*10^-3*K7)+(1.308*10^-5*K7^2)-37.4/K7</f>
        <v>0.23976699999999995</v>
      </c>
      <c r="L50" s="43">
        <f>((B50+D50+G50+H50+I50)/J50+E50/K50)/(K7/100)</f>
        <v>192.70753668997696</v>
      </c>
      <c r="M50" s="43">
        <f>L50*M7*365/$A$89</f>
        <v>88.475787285335343</v>
      </c>
      <c r="O50" s="81">
        <f>L50/$A$92/B7</f>
        <v>1.8651523102010934E-2</v>
      </c>
      <c r="Q50" s="7"/>
    </row>
    <row r="51" spans="1:17">
      <c r="A51" s="22" t="s">
        <v>28</v>
      </c>
      <c r="B51" s="78">
        <f>C51*B8^0.75</f>
        <v>37.06780689975087</v>
      </c>
      <c r="C51" s="21">
        <v>0.32200000000000001</v>
      </c>
      <c r="D51" s="79">
        <f>IF(D8="Stall fed",0,0.17*B51)</f>
        <v>6.3015271729576483</v>
      </c>
      <c r="E51" s="80">
        <f>IF(C8=0,0,26.04*C8^1.097)</f>
        <v>0</v>
      </c>
      <c r="F51" s="21">
        <v>1.2</v>
      </c>
      <c r="G51" s="79">
        <f>E8*(1.47+0.4*G8)</f>
        <v>0</v>
      </c>
      <c r="H51" s="79">
        <f>0.1*B51*I8</f>
        <v>5.0782895452658696</v>
      </c>
      <c r="I51" s="79">
        <f>0.1*B51*J8</f>
        <v>0</v>
      </c>
      <c r="J51" s="78">
        <f>1.123-(4.092*10^-3*K8)+(1.126*10^-5*K8^2)-(25.4/K8)</f>
        <v>0.47018331818181813</v>
      </c>
      <c r="K51" s="78">
        <f>1.164-(5.16*10^-3*K8)+(1.308*10^-5*K8^2)-37.4/K8</f>
        <v>0.23976699999999995</v>
      </c>
      <c r="L51" s="43">
        <f>((B51+D51+G51+H51+I51)/J51+E51/K51)/(K8/100)</f>
        <v>187.34520130774675</v>
      </c>
      <c r="M51" s="43">
        <f>L51*M8*365/$A$89</f>
        <v>86.013834562676195</v>
      </c>
      <c r="O51" s="81">
        <f>L51/$A$92/B8</f>
        <v>1.8132520451775724E-2</v>
      </c>
      <c r="Q51" s="7"/>
    </row>
    <row r="52" spans="1:17">
      <c r="A52" s="22" t="s">
        <v>46</v>
      </c>
      <c r="B52" s="78">
        <f>C52*B9^0.75</f>
        <v>39.583868272547136</v>
      </c>
      <c r="C52" s="21">
        <v>0.38600000000000001</v>
      </c>
      <c r="D52" s="79">
        <f>IF(D9="Stall fed",0,0.17*B52)</f>
        <v>6.7292576063330136</v>
      </c>
      <c r="E52" s="80">
        <f>IF(C9=0,0,26.04*C9^1.097)</f>
        <v>0</v>
      </c>
      <c r="F52" s="21">
        <v>0.8</v>
      </c>
      <c r="G52" s="79">
        <f>E9*(1.47+0.4*G9)</f>
        <v>21.071999999999999</v>
      </c>
      <c r="H52" s="79">
        <f>0.1*B52*I9</f>
        <v>2.1771127549900928</v>
      </c>
      <c r="I52" s="79">
        <f>0.1*B52*J9</f>
        <v>1.9791934136273568</v>
      </c>
      <c r="J52" s="78">
        <f>1.123-(4.092*10^-3*K9)+(1.126*10^-5*K9^2)-(25.4/K9)</f>
        <v>0.47018331818181813</v>
      </c>
      <c r="K52" s="78">
        <f>1.164-(5.16*10^-3*K9)+(1.308*10^-5*K9^2)-37.4/K9</f>
        <v>0.23976699999999995</v>
      </c>
      <c r="L52" s="43">
        <f>((B52+D52+G52+H52+I52)/J52+E52/K52)/(K9/100)</f>
        <v>276.64811992574886</v>
      </c>
      <c r="M52" s="43">
        <f>L52*M9*365/$A$89</f>
        <v>127.01454562628722</v>
      </c>
      <c r="O52" s="81">
        <f>L52/$A$92/B9</f>
        <v>3.1238495926575075E-2</v>
      </c>
      <c r="Q52" s="7"/>
    </row>
    <row r="53" spans="1:17">
      <c r="A53" s="22" t="s">
        <v>58</v>
      </c>
      <c r="B53" s="78">
        <f>C53*B10^0.75</f>
        <v>16.802806658892948</v>
      </c>
      <c r="C53" s="21">
        <v>0.32200000000000001</v>
      </c>
      <c r="D53" s="79">
        <f>IF(D10="Stall fed",0,0.17*B53)</f>
        <v>2.8564771320118014</v>
      </c>
      <c r="E53" s="82">
        <f>22.02*(B10/(F53*Q10))^0.75*C10^1.097</f>
        <v>4.6451370056724572</v>
      </c>
      <c r="F53" s="21">
        <v>0.8</v>
      </c>
      <c r="G53" s="79">
        <f>E10*(1.47+0.4*G10)</f>
        <v>0</v>
      </c>
      <c r="H53" s="79">
        <f>0.1*B53*I10</f>
        <v>0</v>
      </c>
      <c r="I53" s="79">
        <f>0.1*B53*J10</f>
        <v>0</v>
      </c>
      <c r="J53" s="78">
        <f>1.123-(4.092*10^-3*K10)+(1.126*10^-5*K10^2)-(25.4/K10)</f>
        <v>0.49025958542372883</v>
      </c>
      <c r="K53" s="78">
        <f>1.164-(5.16*10^-3*K10)+(1.308*10^-5*K10^2)-37.4/K10</f>
        <v>0.27119317491525408</v>
      </c>
      <c r="L53" s="43">
        <f>((B53+D53+G53+H53+I53)/J53+E53/K53)/(K10/100)</f>
        <v>96.997052890066556</v>
      </c>
      <c r="M53" s="43">
        <f>L53*M10*365/$A$89</f>
        <v>44.533238119338741</v>
      </c>
      <c r="O53" s="81">
        <f>L53/$A$92/B10</f>
        <v>2.6960476100358993E-2</v>
      </c>
      <c r="Q53" s="7"/>
    </row>
    <row r="54" spans="1:17">
      <c r="A54" s="22" t="s">
        <v>29</v>
      </c>
      <c r="B54" s="78">
        <f>C54*B11^0.75</f>
        <v>9.0140521430900478</v>
      </c>
      <c r="C54" s="21">
        <v>0.32200000000000001</v>
      </c>
      <c r="D54" s="79">
        <f>IF(D11="Stall fed",0,0.17*B54)</f>
        <v>1.5323888643253083</v>
      </c>
      <c r="E54" s="82">
        <f>22.02*(B11/(F54*Q11))^0.75*C11^1.097</f>
        <v>4.9544080203898906</v>
      </c>
      <c r="F54" s="21">
        <v>0.8</v>
      </c>
      <c r="G54" s="79">
        <f>E11*(1.47+0.4*G11)</f>
        <v>0</v>
      </c>
      <c r="H54" s="79">
        <f>0.1*B54*I11</f>
        <v>0</v>
      </c>
      <c r="I54" s="79">
        <f>0.1*B54*J11</f>
        <v>0</v>
      </c>
      <c r="J54" s="78">
        <f>1.123-(4.092*10^-3*K11)+(1.126*10^-5*K11^2)-(25.4/K11)</f>
        <v>0.47558793142857142</v>
      </c>
      <c r="K54" s="78">
        <f>1.164-(5.16*10^-3*K11)+(1.308*10^-5*K11^2)-37.4/K11</f>
        <v>0.24820173714285698</v>
      </c>
      <c r="L54" s="43">
        <f>((B54+D54+G54+H54+I54)/J54+E54/K54)/(K11/100)</f>
        <v>75.244285681067296</v>
      </c>
      <c r="M54" s="43">
        <f>L54*M11*365/$A$89</f>
        <v>34.546118583131523</v>
      </c>
      <c r="O54" s="81">
        <f>L54/$A$92/B11</f>
        <v>4.7979777255582536E-2</v>
      </c>
      <c r="Q54" s="7"/>
    </row>
    <row r="55" spans="1:17">
      <c r="A55" s="10" t="s">
        <v>20</v>
      </c>
      <c r="B55" s="83"/>
      <c r="C55" s="39"/>
      <c r="D55" s="84"/>
      <c r="E55" s="85"/>
      <c r="F55" s="39"/>
      <c r="G55" s="84"/>
      <c r="H55" s="84"/>
      <c r="I55" s="84"/>
      <c r="J55" s="83"/>
      <c r="K55" s="83"/>
      <c r="L55" s="86"/>
      <c r="M55" s="86"/>
      <c r="O55" s="87"/>
      <c r="Q55" s="7"/>
    </row>
    <row r="56" spans="1:17">
      <c r="A56" s="22" t="str">
        <f>A13</f>
        <v>Mature Males</v>
      </c>
      <c r="B56" s="78">
        <f>C56*B13^0.75</f>
        <v>38.534416228253455</v>
      </c>
      <c r="C56" s="66">
        <v>0.37</v>
      </c>
      <c r="D56" s="79">
        <f>IF(D13="Stall fed",0,0.17*B56)</f>
        <v>6.5508507588030875</v>
      </c>
      <c r="E56" s="80">
        <f>IF(C13=0,0,26.04*C13^1.097)</f>
        <v>0</v>
      </c>
      <c r="F56" s="21"/>
      <c r="G56" s="79">
        <f>E13*(1.47+0.4*G13)</f>
        <v>0</v>
      </c>
      <c r="H56" s="79">
        <f>0.1*B56*I13</f>
        <v>4.238785785107881</v>
      </c>
      <c r="I56" s="79">
        <f>0.1*B56*J13</f>
        <v>0</v>
      </c>
      <c r="J56" s="78">
        <f>1.123-(4.092*10^-3*K13)+(1.126*10^-5*K13^2)-(25.4/K13)</f>
        <v>0.47018331818181813</v>
      </c>
      <c r="K56" s="78">
        <f>1.164-(5.16*10^-3*K13)+(1.308*10^-5*K13^2)-37.4/K13</f>
        <v>0.23976699999999995</v>
      </c>
      <c r="L56" s="43">
        <f>((B56+D56+G56+H56+I56)/J56+E56/K56)/(K13/100)</f>
        <v>190.73432102223347</v>
      </c>
      <c r="M56" s="43">
        <f>L56*M13*365/$A$89</f>
        <v>87.569845500773866</v>
      </c>
      <c r="O56" s="81">
        <f>L56/$A$92/B13</f>
        <v>2.1097762404981305E-2</v>
      </c>
      <c r="Q56" s="7"/>
    </row>
    <row r="57" spans="1:17">
      <c r="A57" s="22" t="str">
        <f>A14</f>
        <v>Mature Females</v>
      </c>
      <c r="B57" s="78">
        <f>C57*B14^0.75</f>
        <v>35.811645146696769</v>
      </c>
      <c r="C57" s="21">
        <v>0.38600000000000001</v>
      </c>
      <c r="D57" s="79">
        <f>IF(D14="Stall fed",0,0.17*B57)</f>
        <v>6.0879796749384507</v>
      </c>
      <c r="E57" s="80">
        <f>IF(C14=0,0,26.04*C14^1.097)</f>
        <v>0</v>
      </c>
      <c r="F57" s="21"/>
      <c r="G57" s="79">
        <f>E14*(1.47+0.4*G14)</f>
        <v>8.1760000000000002</v>
      </c>
      <c r="H57" s="79">
        <f>0.1*B57*I14</f>
        <v>3.939280966136645</v>
      </c>
      <c r="I57" s="79">
        <f>0.1*B57*J14</f>
        <v>1.6115240316013546</v>
      </c>
      <c r="J57" s="78">
        <f>1.123-(4.092*10^-3*K14)+(1.126*10^-5*K14^2)-(25.4/K14)</f>
        <v>0.47018331818181813</v>
      </c>
      <c r="K57" s="78">
        <f>1.164-(5.16*10^-3*K14)+(1.308*10^-5*K14^2)-37.4/K14</f>
        <v>0.23976699999999995</v>
      </c>
      <c r="L57" s="43">
        <f>((B57+D57+G57+H57+I57)/J57+E57/K57)/(K14/100)</f>
        <v>215.10538421280452</v>
      </c>
      <c r="M57" s="43">
        <f>L57*M14*365/$A$89</f>
        <v>98.759075770658697</v>
      </c>
      <c r="O57" s="81">
        <f>L57/$A$92/B14</f>
        <v>2.7759115268138408E-2</v>
      </c>
      <c r="Q57" s="7"/>
    </row>
    <row r="58" spans="1:17">
      <c r="A58" s="22" t="s">
        <v>58</v>
      </c>
      <c r="B58" s="78">
        <f>C58*B15^0.75</f>
        <v>18.706509562181818</v>
      </c>
      <c r="C58" s="21">
        <v>0.32200000000000001</v>
      </c>
      <c r="D58" s="79">
        <f>IF(D15="Stall fed",0,0.17*B58)</f>
        <v>3.1801066255709092</v>
      </c>
      <c r="E58" s="82">
        <f>22.02*(B15/(F58*Q15))^0.75*C15^1.097</f>
        <v>4.7865382596894994</v>
      </c>
      <c r="F58" s="21">
        <v>0.8</v>
      </c>
      <c r="G58" s="79">
        <f>E15*(1.47+0.4*G15)</f>
        <v>0</v>
      </c>
      <c r="H58" s="79">
        <f>0.1*B58*I15</f>
        <v>0</v>
      </c>
      <c r="I58" s="79">
        <f>0.1*B58*J15</f>
        <v>0</v>
      </c>
      <c r="J58" s="78">
        <f>1.123-(4.092*10^-3*K15)+(1.126*10^-5*K15^2)-(25.4/K15)</f>
        <v>0.47018331818181813</v>
      </c>
      <c r="K58" s="78">
        <f>1.164-(5.16*10^-3*K15)+(1.308*10^-5*K15^2)-37.4/K15</f>
        <v>0.23976699999999995</v>
      </c>
      <c r="L58" s="43">
        <f>((B58+D58+G58+H58+I58)/J58+E58/K58)/(K15/100)</f>
        <v>120.93164176933165</v>
      </c>
      <c r="M58" s="43">
        <f>L58*M15*365/$A$89</f>
        <v>55.522074523026482</v>
      </c>
      <c r="O58" s="81">
        <f>L58/$A$92/B15</f>
        <v>2.9131380131124755E-2</v>
      </c>
      <c r="Q58" s="7"/>
    </row>
    <row r="59" spans="1:17">
      <c r="A59" s="22" t="str">
        <f>A16</f>
        <v xml:space="preserve">Calves </v>
      </c>
      <c r="B59" s="78">
        <f>C59*B16^0.75</f>
        <v>9.4088761904683675</v>
      </c>
      <c r="C59" s="21">
        <v>0.32200000000000001</v>
      </c>
      <c r="D59" s="79">
        <f>IF(D16="Stall fed",0,0.17*B59)</f>
        <v>1.5995089523796227</v>
      </c>
      <c r="E59" s="82">
        <f>22.02*(B16/(F59*Q16))^0.75*C16^1.097</f>
        <v>5.0846701914814885</v>
      </c>
      <c r="F59" s="21">
        <v>0.8</v>
      </c>
      <c r="G59" s="79">
        <f>E16*(1.47+0.4*G16)</f>
        <v>0</v>
      </c>
      <c r="H59" s="79">
        <f>0.1*B59*I16</f>
        <v>0</v>
      </c>
      <c r="I59" s="79">
        <f>0.1*B59*J16</f>
        <v>0</v>
      </c>
      <c r="J59" s="78">
        <f>1.123-(4.092*10^-3*K16)+(1.126*10^-5*K16^2)-(25.4/K16)</f>
        <v>0.47018331818181813</v>
      </c>
      <c r="K59" s="78">
        <f>1.164-(5.16*10^-3*K16)+(1.308*10^-5*K16^2)-37.4/K16</f>
        <v>0.23976699999999995</v>
      </c>
      <c r="L59" s="43">
        <f>((B59+D59+G59+H59+I59)/J59+E59/K59)/(K16/100)</f>
        <v>81.126687399198687</v>
      </c>
      <c r="M59" s="43">
        <f>L59*M16*365/$A$89</f>
        <v>37.246843900261041</v>
      </c>
      <c r="O59" s="81">
        <f>L59/$A$92/B16</f>
        <v>4.8856782534898335E-2</v>
      </c>
      <c r="Q59" s="7"/>
    </row>
    <row r="60" spans="1:17">
      <c r="A60" s="10" t="s">
        <v>21</v>
      </c>
      <c r="B60" s="83"/>
      <c r="C60" s="39"/>
      <c r="D60" s="84"/>
      <c r="E60" s="85"/>
      <c r="F60" s="39"/>
      <c r="G60" s="84"/>
      <c r="H60" s="84"/>
      <c r="I60" s="84"/>
      <c r="J60" s="83"/>
      <c r="K60" s="83"/>
      <c r="L60" s="86"/>
      <c r="M60" s="86"/>
      <c r="O60" s="87"/>
      <c r="Q60" s="7"/>
    </row>
    <row r="61" spans="1:17">
      <c r="A61" s="22" t="str">
        <f>A18</f>
        <v>Mature Males</v>
      </c>
      <c r="B61" s="78">
        <f>C61*B18^0.75</f>
        <v>47.63067558921739</v>
      </c>
      <c r="C61" s="66">
        <v>0.37</v>
      </c>
      <c r="D61" s="79">
        <f>IF(D18="Stall fed",0,0.17*B61)</f>
        <v>8.0972148501669565</v>
      </c>
      <c r="E61" s="80">
        <f>IF(C18=0,0,26.04*C18^1.097)</f>
        <v>0</v>
      </c>
      <c r="F61" s="21"/>
      <c r="G61" s="79">
        <f>E18*(1.47+0.4*G18)</f>
        <v>0</v>
      </c>
      <c r="H61" s="79">
        <f>0.1*B61*I18</f>
        <v>0</v>
      </c>
      <c r="I61" s="79">
        <f>0.1*B61*J18</f>
        <v>0</v>
      </c>
      <c r="J61" s="78">
        <f>1.123-(4.092*10^-3*K18)+(1.126*10^-5*K18^2)-(25.4/K18)</f>
        <v>0.49468266666666677</v>
      </c>
      <c r="K61" s="78">
        <f>1.164-(5.16*10^-3*K18)+(1.308*10^-5*K18^2)-37.4/K18</f>
        <v>0.27815466666666655</v>
      </c>
      <c r="L61" s="43">
        <f>((B61+D61+G61+H61+I61)/J61+E61/K61)/(K18/100)</f>
        <v>187.75636111293008</v>
      </c>
      <c r="M61" s="43">
        <f>L61*M18*365/$A$89</f>
        <v>86.202606045559108</v>
      </c>
      <c r="O61" s="81">
        <f>L61/$A$92/B18</f>
        <v>1.5656148518901822E-2</v>
      </c>
      <c r="Q61" s="7"/>
    </row>
    <row r="62" spans="1:17">
      <c r="A62" s="22" t="str">
        <f>A19</f>
        <v>Mature Females</v>
      </c>
      <c r="B62" s="78">
        <f>C62*B19^0.75</f>
        <v>40.814530768805788</v>
      </c>
      <c r="C62" s="21">
        <v>0.38600000000000001</v>
      </c>
      <c r="D62" s="79">
        <f>IF(D19="Stall fed",0,0.17*B62)</f>
        <v>6.9384702306969848</v>
      </c>
      <c r="E62" s="80">
        <f>IF(C19=0,0,26.04*C19^1.097)</f>
        <v>0</v>
      </c>
      <c r="F62" s="21"/>
      <c r="G62" s="79">
        <f>E19*(1.47+0.4*G19)</f>
        <v>18.102</v>
      </c>
      <c r="H62" s="79">
        <f>0.1*B62*I19</f>
        <v>0</v>
      </c>
      <c r="I62" s="79">
        <f>0.1*B62*J19</f>
        <v>2.5305009076659588</v>
      </c>
      <c r="J62" s="78">
        <f>1.123-(4.092*10^-3*K19)+(1.126*10^-5*K19^2)-(25.4/K19)</f>
        <v>0.49468266666666677</v>
      </c>
      <c r="K62" s="78">
        <f>1.164-(5.16*10^-3*K19)+(1.308*10^-5*K19^2)-37.4/K19</f>
        <v>0.27815466666666655</v>
      </c>
      <c r="L62" s="43">
        <f>((B62+D62+G62+H62+I62)/J62+E62/K62)/(K19/100)</f>
        <v>230.40192064936147</v>
      </c>
      <c r="M62" s="43">
        <f>L62*M19*365/$A$89</f>
        <v>105.78201388304018</v>
      </c>
      <c r="O62" s="81">
        <f>L62/$A$92/B19</f>
        <v>2.4975817956570348E-2</v>
      </c>
      <c r="Q62" s="7"/>
    </row>
    <row r="63" spans="1:17">
      <c r="A63" s="22" t="s">
        <v>58</v>
      </c>
      <c r="B63" s="78">
        <f>C63*B20^0.75</f>
        <v>19.634249388694307</v>
      </c>
      <c r="C63" s="21">
        <v>0.32200000000000001</v>
      </c>
      <c r="D63" s="79">
        <f>IF(D20="Stall fed",0,0.17*B63)</f>
        <v>3.3378223960780327</v>
      </c>
      <c r="E63" s="82">
        <f>22.02*(B20/(F63*Q20))^0.75*C20^1.097</f>
        <v>6.6194150173021189</v>
      </c>
      <c r="F63" s="21">
        <v>0.8</v>
      </c>
      <c r="G63" s="79">
        <f>E20*(1.47+0.4*G20)</f>
        <v>0</v>
      </c>
      <c r="H63" s="79">
        <f>0.1*B63*I20</f>
        <v>0</v>
      </c>
      <c r="I63" s="79">
        <f>0.1*B63*J20</f>
        <v>0</v>
      </c>
      <c r="J63" s="78">
        <f>1.123-(4.092*10^-3*K20)+(1.126*10^-5*K20^2)-(25.4/K20)</f>
        <v>0.49468266666666677</v>
      </c>
      <c r="K63" s="78">
        <f>1.164-(5.16*10^-3*K20)+(1.308*10^-5*K20^2)-37.4/K20</f>
        <v>0.27815466666666655</v>
      </c>
      <c r="L63" s="43">
        <f>((B63+D63+G63+H63+I63)/J63+E63/K63)/(K20/100)</f>
        <v>117.05933608461136</v>
      </c>
      <c r="M63" s="43">
        <f>L63*M20*365/$A$89</f>
        <v>53.744223485387607</v>
      </c>
      <c r="O63" s="81">
        <f>L63/$A$92/B20</f>
        <v>2.6436164427419008E-2</v>
      </c>
      <c r="Q63" s="7"/>
    </row>
    <row r="64" spans="1:17">
      <c r="A64" s="22" t="str">
        <f>A21</f>
        <v xml:space="preserve">Calves </v>
      </c>
      <c r="B64" s="78">
        <f>C64*B21^0.75</f>
        <v>9.4088761904683675</v>
      </c>
      <c r="C64" s="21">
        <v>0.32200000000000001</v>
      </c>
      <c r="D64" s="79">
        <f>IF(D21="Stall fed",0,0.17*B64)</f>
        <v>1.5995089523796227</v>
      </c>
      <c r="E64" s="82">
        <f>22.02*(B21/(F64*Q21))^0.75*C21^1.097</f>
        <v>3.2953159181365814</v>
      </c>
      <c r="F64" s="21">
        <v>0.8</v>
      </c>
      <c r="G64" s="79">
        <f>E21*(1.47+0.4*G21)</f>
        <v>0</v>
      </c>
      <c r="H64" s="79">
        <f>0.1*B64*I21</f>
        <v>0</v>
      </c>
      <c r="I64" s="79">
        <f>0.1*B64*J21</f>
        <v>0</v>
      </c>
      <c r="J64" s="78">
        <f>1.123-(4.092*10^-3*K21)+(1.126*10^-5*K21^2)-(25.4/K21)</f>
        <v>0.49468266666666677</v>
      </c>
      <c r="K64" s="78">
        <f>1.164-(5.16*10^-3*K21)+(1.308*10^-5*K21^2)-37.4/K21</f>
        <v>0.27815466666666655</v>
      </c>
      <c r="L64" s="43">
        <f>((B64+D64+G64+H64+I64)/J64+E64/K64)/(K21/100)</f>
        <v>56.834152142329494</v>
      </c>
      <c r="M64" s="43">
        <f>L64*M21*365/$A$89</f>
        <v>26.093667335786499</v>
      </c>
      <c r="O64" s="81">
        <f>L64/$A$92/B21</f>
        <v>3.4227131672586272E-2</v>
      </c>
      <c r="Q64" s="7"/>
    </row>
    <row r="65" spans="1:17">
      <c r="A65" s="10" t="s">
        <v>22</v>
      </c>
      <c r="B65" s="83"/>
      <c r="C65" s="39"/>
      <c r="D65" s="84"/>
      <c r="E65" s="85"/>
      <c r="F65" s="39"/>
      <c r="G65" s="84"/>
      <c r="H65" s="84"/>
      <c r="I65" s="84"/>
      <c r="J65" s="83"/>
      <c r="K65" s="83"/>
      <c r="L65" s="86"/>
      <c r="M65" s="86"/>
      <c r="O65" s="87"/>
      <c r="Q65" s="7"/>
    </row>
    <row r="66" spans="1:17">
      <c r="A66" s="22" t="s">
        <v>47</v>
      </c>
      <c r="B66" s="78">
        <f>C66*B23^0.75</f>
        <v>44.293574851985881</v>
      </c>
      <c r="C66" s="66">
        <v>0.37</v>
      </c>
      <c r="D66" s="79">
        <f>IF(D23="Stall fed",0,0.17*B66)</f>
        <v>7.5299077248376003</v>
      </c>
      <c r="E66" s="80">
        <f>IF(C23=0,0,26.04*C23^1.097)</f>
        <v>0</v>
      </c>
      <c r="F66" s="21"/>
      <c r="G66" s="79">
        <f>E23*(1.47+0.4*G23)</f>
        <v>0</v>
      </c>
      <c r="H66" s="79">
        <f>0.1*B66*I23</f>
        <v>6.0682197547220662</v>
      </c>
      <c r="I66" s="79">
        <f>0.1*B66*J23</f>
        <v>0</v>
      </c>
      <c r="J66" s="78">
        <f>1.123-(4.092*10^-3*K23)+(1.126*10^-5*K23^2)-(25.4/K23)</f>
        <v>0.48561160551724136</v>
      </c>
      <c r="K66" s="78">
        <f>1.164-(5.16*10^-3*K23)+(1.308*10^-5*K23^2)-37.4/K23</f>
        <v>0.26389353379310343</v>
      </c>
      <c r="L66" s="43">
        <f>((B66+D66+G66+H66+I66)/J66+E66/K66)/(K23/100)</f>
        <v>205.54138070003614</v>
      </c>
      <c r="M66" s="43">
        <f>L66*M23*365/$A$89</f>
        <v>94.368055289953716</v>
      </c>
      <c r="O66" s="81">
        <f>L66/$A$92/B23</f>
        <v>1.8882125827939564E-2</v>
      </c>
      <c r="Q66" s="7"/>
    </row>
    <row r="67" spans="1:17">
      <c r="A67" s="22" t="s">
        <v>46</v>
      </c>
      <c r="B67" s="78">
        <f>C67*B24^0.75</f>
        <v>37.083166580663608</v>
      </c>
      <c r="C67" s="21">
        <v>0.38600000000000001</v>
      </c>
      <c r="D67" s="79">
        <f>IF(D24="Stall fed",0,0.17*B67)</f>
        <v>6.3041383187128135</v>
      </c>
      <c r="E67" s="80">
        <f>IF(C24=0,0,26.04*C24^1.097)</f>
        <v>0</v>
      </c>
      <c r="F67" s="21"/>
      <c r="G67" s="79">
        <f>E24*(1.47+0.4*G24)</f>
        <v>18.705000000000002</v>
      </c>
      <c r="H67" s="79">
        <f>0.1*B67*I24</f>
        <v>2.0395741619364989</v>
      </c>
      <c r="I67" s="79">
        <f>0.1*B67*J24</f>
        <v>1.6316593295491988</v>
      </c>
      <c r="J67" s="78">
        <f>1.123-(4.092*10^-3*K24)+(1.126*10^-5*K24^2)-(25.4/K24)</f>
        <v>0.48561160551724136</v>
      </c>
      <c r="K67" s="78">
        <f>1.164-(5.16*10^-3*K24)+(1.308*10^-5*K24^2)-37.4/K24</f>
        <v>0.26389353379310343</v>
      </c>
      <c r="L67" s="43">
        <f>((B67+D67+G67+H67+I67)/J67+E67/K67)/(K24/100)</f>
        <v>233.48991195949108</v>
      </c>
      <c r="M67" s="43">
        <f>L67*M24*365/$A$89</f>
        <v>107.19977089964055</v>
      </c>
      <c r="O67" s="81">
        <f>L67/$A$92/B24</f>
        <v>2.8761999502277789E-2</v>
      </c>
      <c r="Q67" s="7"/>
    </row>
    <row r="68" spans="1:17">
      <c r="A68" s="22" t="s">
        <v>58</v>
      </c>
      <c r="B68" s="78">
        <f>C68*B25^0.75</f>
        <v>23.211158260541723</v>
      </c>
      <c r="C68" s="21">
        <v>0.32200000000000001</v>
      </c>
      <c r="D68" s="79">
        <f>IF(D25="Stall fed",0,0.17*B68)</f>
        <v>3.9458969042920931</v>
      </c>
      <c r="E68" s="82">
        <f>22.02*(B25/(F68*Q25))^0.75*C25^1.097</f>
        <v>7.8253202614038653</v>
      </c>
      <c r="F68" s="21">
        <v>0.8</v>
      </c>
      <c r="G68" s="79">
        <f>E25*(1.47+0.4*G25)</f>
        <v>0</v>
      </c>
      <c r="H68" s="79">
        <f>0.1*B68*I25</f>
        <v>0</v>
      </c>
      <c r="I68" s="79">
        <f>0.1*B68*J25</f>
        <v>0</v>
      </c>
      <c r="J68" s="78">
        <f>1.123-(4.092*10^-3*K25)+(1.126*10^-5*K25^2)-(25.4/K25)</f>
        <v>0.48561160551724136</v>
      </c>
      <c r="K68" s="78">
        <f>1.164-(5.16*10^-3*K25)+(1.308*10^-5*K25^2)-37.4/K25</f>
        <v>0.26389353379310343</v>
      </c>
      <c r="L68" s="43">
        <f>((B68+D68+G68+H68+I68)/J68+E68/K68)/(K25/100)</f>
        <v>147.54608559421953</v>
      </c>
      <c r="M68" s="43">
        <f>L68*M25*365/$A$89</f>
        <v>67.741284580993891</v>
      </c>
      <c r="O68" s="81">
        <f>L68/$A$92/B25</f>
        <v>2.6656926033282666E-2</v>
      </c>
      <c r="Q68" s="7"/>
    </row>
    <row r="69" spans="1:17">
      <c r="A69" s="22" t="s">
        <v>30</v>
      </c>
      <c r="B69" s="78">
        <f>C69*B26^0.75</f>
        <v>11.30782951060729</v>
      </c>
      <c r="C69" s="21">
        <v>0.32200000000000001</v>
      </c>
      <c r="D69" s="79">
        <f>IF(D26="Stall fed",0,0.17*B69)</f>
        <v>1.9223310168032395</v>
      </c>
      <c r="E69" s="82">
        <f>22.02*(B26/(F69*Q26))^0.75*C26^1.097</f>
        <v>7.1585462553159003</v>
      </c>
      <c r="F69" s="21">
        <v>0.8</v>
      </c>
      <c r="G69" s="79">
        <f>E26*(1.47+0.4*G26)</f>
        <v>0</v>
      </c>
      <c r="H69" s="79">
        <f>0.1*B69*I26</f>
        <v>0</v>
      </c>
      <c r="I69" s="79">
        <f>0.1*B69*J26</f>
        <v>0</v>
      </c>
      <c r="J69" s="78">
        <f>1.123-(4.092*10^-3*K26)+(1.126*10^-5*K26^2)-(25.4/K26)</f>
        <v>0.48561160551724136</v>
      </c>
      <c r="K69" s="78">
        <f>1.164-(5.16*10^-3*K26)+(1.308*10^-5*K26^2)-37.4/K26</f>
        <v>0.26389353379310343</v>
      </c>
      <c r="L69" s="43">
        <f>((B69+D69+G69+H69+I69)/J69+E69/K69)/(K26/100)</f>
        <v>93.743052463180121</v>
      </c>
      <c r="M69" s="43">
        <f>L69*M26*365/$A$89</f>
        <v>43.039263080579559</v>
      </c>
      <c r="O69" s="81">
        <f>L69/$A$92/B26</f>
        <v>4.4181950023886002E-2</v>
      </c>
      <c r="Q69" s="7"/>
    </row>
    <row r="70" spans="1:17">
      <c r="A70" s="10" t="s">
        <v>23</v>
      </c>
      <c r="B70" s="83"/>
      <c r="C70" s="39"/>
      <c r="D70" s="84"/>
      <c r="E70" s="85"/>
      <c r="F70" s="39"/>
      <c r="G70" s="84"/>
      <c r="H70" s="84"/>
      <c r="I70" s="84"/>
      <c r="J70" s="83"/>
      <c r="K70" s="83"/>
      <c r="L70" s="86"/>
      <c r="M70" s="86"/>
      <c r="O70" s="87"/>
      <c r="Q70" s="7"/>
    </row>
    <row r="71" spans="1:17">
      <c r="A71" s="22" t="s">
        <v>47</v>
      </c>
      <c r="B71" s="78">
        <f>C71*B28^0.75</f>
        <v>47.63067558921739</v>
      </c>
      <c r="C71" s="66">
        <v>0.37</v>
      </c>
      <c r="D71" s="79">
        <f>IF(D28="Stall fed",0,0.17*B71)</f>
        <v>8.0972148501669565</v>
      </c>
      <c r="E71" s="80">
        <f>IF(C28=0,0,26.04*C28^1.097)</f>
        <v>0</v>
      </c>
      <c r="F71" s="21"/>
      <c r="G71" s="79">
        <f>E28*(1.47+0.4*G28)</f>
        <v>0</v>
      </c>
      <c r="H71" s="79">
        <f>0.1*B71*I28</f>
        <v>6.5254025557227839</v>
      </c>
      <c r="I71" s="79">
        <f>0.1*B71*J28</f>
        <v>0</v>
      </c>
      <c r="J71" s="78">
        <f>1.123-(4.092*10^-3*K28)+(1.126*10^-5*K28^2)-(25.4/K28)</f>
        <v>0.49468266666666677</v>
      </c>
      <c r="K71" s="78">
        <f>1.164-(5.16*10^-3*K28)+(1.308*10^-5*K28^2)-37.4/K28</f>
        <v>0.27815466666666655</v>
      </c>
      <c r="L71" s="43">
        <f>((B71+D71+G71+H71+I71)/J71+E71/K71)/(K28/100)</f>
        <v>209.74150767059797</v>
      </c>
      <c r="M71" s="43">
        <f>L71*M28*365/$A$89</f>
        <v>96.296415471406632</v>
      </c>
      <c r="O71" s="81">
        <f>L71/$A$92/B28</f>
        <v>1.7489389841200582E-2</v>
      </c>
      <c r="Q71" s="7"/>
    </row>
    <row r="72" spans="1:17">
      <c r="A72" s="22" t="s">
        <v>46</v>
      </c>
      <c r="B72" s="78">
        <f>C72*B29^0.75</f>
        <v>42.032944310813384</v>
      </c>
      <c r="C72" s="21">
        <v>0.38600000000000001</v>
      </c>
      <c r="D72" s="79">
        <f>IF(D29="Stall fed",0,0.17*B72)</f>
        <v>7.1456005328382757</v>
      </c>
      <c r="E72" s="80">
        <f>IF(C29=0,0,26.04*C29^1.097)</f>
        <v>0</v>
      </c>
      <c r="F72" s="21"/>
      <c r="G72" s="79">
        <f>E29*(1.47+0.4*G29)</f>
        <v>12.810000000000002</v>
      </c>
      <c r="H72" s="79">
        <f>0.1*B72*I29</f>
        <v>2.3118119370947361</v>
      </c>
      <c r="I72" s="79">
        <f>0.1*B72*J29</f>
        <v>2.73214138020287</v>
      </c>
      <c r="J72" s="78">
        <f>1.123-(4.092*10^-3*K29)+(1.126*10^-5*K29^2)-(25.4/K29)</f>
        <v>0.51382426923076929</v>
      </c>
      <c r="K72" s="78">
        <f>1.164-(5.16*10^-3*K29)+(1.308*10^-5*K29^2)-37.4/K29</f>
        <v>0.30847838461538446</v>
      </c>
      <c r="L72" s="43">
        <f>((B72+D72+G72+H72+I72)/J72+E72/K72)/(K29/100)</f>
        <v>200.70465025329077</v>
      </c>
      <c r="M72" s="43">
        <f>L72*M29*365/$A$89</f>
        <v>82.932676236737123</v>
      </c>
      <c r="O72" s="81">
        <f>L72/$A$92/B29</f>
        <v>2.0919809282185821E-2</v>
      </c>
      <c r="Q72" s="7"/>
    </row>
    <row r="73" spans="1:17">
      <c r="A73" s="22" t="s">
        <v>58</v>
      </c>
      <c r="B73" s="78">
        <f>C73*B30^0.75</f>
        <v>20.547595471932091</v>
      </c>
      <c r="C73" s="21">
        <v>0.32200000000000001</v>
      </c>
      <c r="D73" s="79">
        <f>IF(D30="Stall fed",0,0.17*B73)</f>
        <v>3.4930912302284556</v>
      </c>
      <c r="E73" s="82">
        <f>22.02*(B30/(F73*Q30))^0.75*C30^1.097</f>
        <v>6.7375868795878491</v>
      </c>
      <c r="F73" s="21">
        <v>0.8</v>
      </c>
      <c r="G73" s="79">
        <f>E30*(1.47+0.4*G30)</f>
        <v>0</v>
      </c>
      <c r="H73" s="79">
        <f>0.1*B73*I30</f>
        <v>0</v>
      </c>
      <c r="I73" s="79">
        <f>0.1*B73*J30</f>
        <v>0</v>
      </c>
      <c r="J73" s="78">
        <f>1.123-(4.092*10^-3*K30)+(1.126*10^-5*K30^2)-(25.4/K30)</f>
        <v>0.49889301737704922</v>
      </c>
      <c r="K73" s="78">
        <f>1.164-(5.16*10^-3*K30)+(1.308*10^-5*K30^2)-37.4/K30</f>
        <v>0.28479592590163927</v>
      </c>
      <c r="L73" s="43">
        <f>((B73+D73+G73+H73+I73)/J73+E73/K73)/(K30/100)</f>
        <v>117.77976364151277</v>
      </c>
      <c r="M73" s="43">
        <f>L73*M30*365/$A$89</f>
        <v>54.074985822832907</v>
      </c>
      <c r="O73" s="81">
        <f>L73/$A$92/B30</f>
        <v>2.5034223633883371E-2</v>
      </c>
      <c r="Q73" s="7"/>
    </row>
    <row r="74" spans="1:17">
      <c r="A74" s="22" t="s">
        <v>30</v>
      </c>
      <c r="B74" s="78">
        <f>C74*B31^0.75</f>
        <v>10.562040926727384</v>
      </c>
      <c r="C74" s="21">
        <v>0.32200000000000001</v>
      </c>
      <c r="D74" s="79">
        <f>IF(D31="Stall fed",0,0.17*B74)</f>
        <v>1.7955469575436556</v>
      </c>
      <c r="E74" s="82">
        <f>22.02*(B31/(F74*Q31))^0.75*C31^1.097</f>
        <v>6.5337319102363862</v>
      </c>
      <c r="F74" s="21">
        <v>0.8</v>
      </c>
      <c r="G74" s="79">
        <f>E31*(1.47+0.4*G31)</f>
        <v>0</v>
      </c>
      <c r="H74" s="79">
        <f>0.1*B74*I31</f>
        <v>0</v>
      </c>
      <c r="I74" s="79">
        <f>0.1*B74*J31</f>
        <v>0</v>
      </c>
      <c r="J74" s="78">
        <f>1.123-(4.092*10^-3*K31)+(1.126*10^-5*K31^2)-(25.4/K31)</f>
        <v>0.49889301737704922</v>
      </c>
      <c r="K74" s="78">
        <f>1.164-(5.16*10^-3*K31)+(1.308*10^-5*K31^2)-37.4/K31</f>
        <v>0.28479592590163927</v>
      </c>
      <c r="L74" s="43">
        <f>((B74+D74+G74+H74+I74)/J74+E74/K74)/(K31/100)</f>
        <v>78.216095592894987</v>
      </c>
      <c r="M74" s="43">
        <f>L74*M31*365/$A$89</f>
        <v>35.910534454599585</v>
      </c>
      <c r="O74" s="81">
        <f>L74/$A$92/B31</f>
        <v>4.0374807377930054E-2</v>
      </c>
      <c r="Q74" s="7"/>
    </row>
    <row r="75" spans="1:17">
      <c r="A75" s="10" t="s">
        <v>24</v>
      </c>
      <c r="B75" s="83"/>
      <c r="C75" s="39"/>
      <c r="D75" s="84"/>
      <c r="E75" s="85"/>
      <c r="F75" s="39"/>
      <c r="G75" s="84"/>
      <c r="H75" s="84"/>
      <c r="I75" s="84"/>
      <c r="J75" s="83"/>
      <c r="K75" s="83"/>
      <c r="L75" s="86"/>
      <c r="M75" s="86"/>
      <c r="O75" s="87"/>
      <c r="Q75" s="7"/>
    </row>
    <row r="76" spans="1:17">
      <c r="A76" s="22" t="str">
        <f>A71</f>
        <v>Mature Males</v>
      </c>
      <c r="B76" s="78">
        <f>C76*B33^0.75</f>
        <v>47.63067558921739</v>
      </c>
      <c r="C76" s="66">
        <v>0.37</v>
      </c>
      <c r="D76" s="79">
        <f>IF(D33="Stall fed",0,0.17*B76)</f>
        <v>0</v>
      </c>
      <c r="E76" s="80">
        <f>IF(C33=0,0,26.04*C33^1.097)</f>
        <v>0</v>
      </c>
      <c r="F76" s="21"/>
      <c r="G76" s="79">
        <f>E33*(1.47+0.4*G33)</f>
        <v>0</v>
      </c>
      <c r="H76" s="79">
        <f>0.1*B76*I33</f>
        <v>0</v>
      </c>
      <c r="I76" s="79">
        <f>0.1*B76*J33</f>
        <v>0</v>
      </c>
      <c r="J76" s="78">
        <f>1.123-(4.092*10^-3*K33)+(1.126*10^-5*K33^2)-(25.4/K33)</f>
        <v>0.51382426923076929</v>
      </c>
      <c r="K76" s="78">
        <f>1.164-(5.16*10^-3*K33)+(1.308*10^-5*K33^2)-37.4/K33</f>
        <v>0.30847838461538446</v>
      </c>
      <c r="L76" s="43">
        <f>((B76+D76+G76+H76+I76)/J76+E76/K76)/(K33/100)</f>
        <v>142.61288699860759</v>
      </c>
      <c r="M76" s="43">
        <f>L76*M33*365/$A$89</f>
        <v>58.928721231500127</v>
      </c>
      <c r="O76" s="81">
        <f>L76/$A$92/B33</f>
        <v>1.1891839649665007E-2</v>
      </c>
      <c r="Q76" s="7"/>
    </row>
    <row r="77" spans="1:17">
      <c r="A77" s="22" t="str">
        <f>A72</f>
        <v>Mature Females</v>
      </c>
      <c r="B77" s="78">
        <f>C77*B34^0.75</f>
        <v>47.669834209789087</v>
      </c>
      <c r="C77" s="21">
        <v>0.38600000000000001</v>
      </c>
      <c r="D77" s="79">
        <f>IF(D34="Stall fed",0,0.17*B77)</f>
        <v>0</v>
      </c>
      <c r="E77" s="80">
        <f>IF(C34=0,0,26.04*C34^1.097)</f>
        <v>0</v>
      </c>
      <c r="F77" s="21"/>
      <c r="G77" s="79">
        <f>E34*(1.47+0.4*G34)</f>
        <v>14.01</v>
      </c>
      <c r="H77" s="79">
        <f>0.1*B77*I34</f>
        <v>0</v>
      </c>
      <c r="I77" s="79">
        <f>0.1*B77*J34</f>
        <v>4.1234406591467563</v>
      </c>
      <c r="J77" s="78">
        <f>1.123-(4.092*10^-3*K34)+(1.126*10^-5*K34^2)-(25.4/K34)</f>
        <v>0.51382426923076929</v>
      </c>
      <c r="K77" s="78">
        <f>1.164-(5.16*10^-3*K34)+(1.308*10^-5*K34^2)-37.4/K34</f>
        <v>0.30847838461538446</v>
      </c>
      <c r="L77" s="43">
        <f>((B77+D77+G77+H77+I77)/J77+E77/K77)/(K34/100)</f>
        <v>197.02418424537942</v>
      </c>
      <c r="M77" s="43">
        <f>L77*M34*365/$A$89</f>
        <v>81.411879905166217</v>
      </c>
      <c r="O77" s="81">
        <f>L77/$A$92/B34</f>
        <v>1.73639310150818E-2</v>
      </c>
      <c r="Q77" s="7"/>
    </row>
    <row r="78" spans="1:17">
      <c r="A78" s="22" t="str">
        <f>A73</f>
        <v>Growing animals</v>
      </c>
      <c r="B78" s="78">
        <f>C78*B35^0.75</f>
        <v>29.87396304983513</v>
      </c>
      <c r="C78" s="21">
        <v>0.32200000000000001</v>
      </c>
      <c r="D78" s="79">
        <f>IF(D35="Stall fed",0,0.17*B78)</f>
        <v>0</v>
      </c>
      <c r="E78" s="82">
        <f>22.02*(B35/(F78*Q35))^0.75*C35^1.097</f>
        <v>10.597304270872741</v>
      </c>
      <c r="F78" s="21">
        <v>0.8</v>
      </c>
      <c r="G78" s="79">
        <f>E35*(1.47+0.4*G35)</f>
        <v>0</v>
      </c>
      <c r="H78" s="79">
        <f>0.1*B78*I35</f>
        <v>0</v>
      </c>
      <c r="I78" s="79">
        <f>0.1*B78*J35</f>
        <v>0</v>
      </c>
      <c r="J78" s="78">
        <f>1.123-(4.092*10^-3*K35)+(1.126*10^-5*K35^2)-(25.4/K35)</f>
        <v>0.51382426923076929</v>
      </c>
      <c r="K78" s="78">
        <f>1.164-(5.16*10^-3*K35)+(1.308*10^-5*K35^2)-37.4/K35</f>
        <v>0.30847838461538446</v>
      </c>
      <c r="L78" s="43">
        <f>((B78+D78+G78+H78+I78)/J78+E78/K78)/(K35/100)</f>
        <v>142.298311654228</v>
      </c>
      <c r="M78" s="43">
        <f>L78*M35*365/$A$89</f>
        <v>58.798736325048935</v>
      </c>
      <c r="O78" s="81">
        <f>L78/$A$92/B35</f>
        <v>1.8363441947893664E-2</v>
      </c>
      <c r="Q78" s="7"/>
    </row>
    <row r="79" spans="1:17">
      <c r="A79" s="22" t="str">
        <f>A74</f>
        <v>Calves</v>
      </c>
      <c r="B79" s="78">
        <f>C79*B36^0.75</f>
        <v>15.159768268068968</v>
      </c>
      <c r="C79" s="21">
        <v>0.32200000000000001</v>
      </c>
      <c r="D79" s="79">
        <f>IF(D36="Stall fed",0,0.17*B79)</f>
        <v>0</v>
      </c>
      <c r="E79" s="82">
        <f>22.02*(B36/(F79*Q36))^0.75*C36^1.097</f>
        <v>11.423529149945891</v>
      </c>
      <c r="F79" s="21">
        <v>0.8</v>
      </c>
      <c r="G79" s="79">
        <f>E36*(1.47+0.4*G36)</f>
        <v>0</v>
      </c>
      <c r="H79" s="79">
        <f>0.1*B79*I36</f>
        <v>0</v>
      </c>
      <c r="I79" s="79">
        <f>0.1*B79*J36</f>
        <v>0</v>
      </c>
      <c r="J79" s="78">
        <f>1.123-(4.092*10^-3*K36)+(1.126*10^-5*K36^2)-(25.4/K36)</f>
        <v>0.51382426923076929</v>
      </c>
      <c r="K79" s="78">
        <f>1.164-(5.16*10^-3*K36)+(1.308*10^-5*K36^2)-37.4/K36</f>
        <v>0.30847838461538446</v>
      </c>
      <c r="L79" s="43">
        <f>((B79+D79+G79+H79+I79)/J79+E79/K79)/(K36/100)</f>
        <v>102.36255720702702</v>
      </c>
      <c r="M79" s="43">
        <f>L79*M36*365/$A$89</f>
        <v>42.296981185545128</v>
      </c>
      <c r="O79" s="81">
        <f>L79/$A$92/B36</f>
        <v>3.2635918127539305E-2</v>
      </c>
      <c r="Q79" s="7"/>
    </row>
    <row r="80" spans="1:17">
      <c r="A80" s="10" t="s">
        <v>25</v>
      </c>
      <c r="B80" s="83"/>
      <c r="C80" s="39"/>
      <c r="D80" s="84"/>
      <c r="E80" s="85"/>
      <c r="F80" s="39"/>
      <c r="G80" s="84"/>
      <c r="H80" s="84"/>
      <c r="I80" s="84"/>
      <c r="J80" s="83"/>
      <c r="K80" s="83"/>
      <c r="L80" s="86"/>
      <c r="M80" s="86"/>
      <c r="O80" s="87"/>
      <c r="Q80" s="7"/>
    </row>
    <row r="81" spans="1:17">
      <c r="A81" s="22" t="str">
        <f>A76</f>
        <v>Mature Males</v>
      </c>
      <c r="B81" s="78">
        <f>C81*B38^0.75</f>
        <v>47.63067558921739</v>
      </c>
      <c r="C81" s="66">
        <v>0.37</v>
      </c>
      <c r="D81" s="79">
        <f>IF(D38="Stall fed",0,0.17*B81)</f>
        <v>8.0972148501669565</v>
      </c>
      <c r="E81" s="82"/>
      <c r="F81" s="21"/>
      <c r="G81" s="79">
        <f>E38*(1.47+0.4*G38)</f>
        <v>0</v>
      </c>
      <c r="H81" s="79">
        <f>0.1*B81*I38</f>
        <v>0</v>
      </c>
      <c r="I81" s="79">
        <f>0.1*B81*J38</f>
        <v>0</v>
      </c>
      <c r="J81" s="78">
        <f>1.123-(4.092*10^-3*K38)+(1.126*10^-5*K38^2)-(25.4/K38)</f>
        <v>0.53148318112676063</v>
      </c>
      <c r="K81" s="78">
        <f>1.164-(5.16*10^-3*K38)+(1.308*10^-5*K38^2)-37.4/K38</f>
        <v>0.33681571661971832</v>
      </c>
      <c r="L81" s="43">
        <f>((B81+D81+G81+H81+I81)/J81+E81/K81)/(K38/100)</f>
        <v>147.6810354900469</v>
      </c>
      <c r="M81" s="43">
        <f>L81*M38*365/$A$89</f>
        <v>61.022918438340135</v>
      </c>
      <c r="O81" s="81">
        <f>L81/$A$92/B38</f>
        <v>1.231444948843418E-2</v>
      </c>
      <c r="Q81" s="7"/>
    </row>
    <row r="82" spans="1:17">
      <c r="A82" s="22" t="str">
        <f>A77</f>
        <v>Mature Females</v>
      </c>
      <c r="B82" s="78">
        <f>C82*B39^0.75</f>
        <v>43.838867036162007</v>
      </c>
      <c r="C82" s="21">
        <v>0.38600000000000001</v>
      </c>
      <c r="D82" s="79">
        <f>IF(D39="Stall fed",0,0.17*B82)</f>
        <v>7.4526073961475419</v>
      </c>
      <c r="E82" s="82"/>
      <c r="F82" s="21"/>
      <c r="G82" s="79">
        <f>E39*(1.47+0.4*G39)</f>
        <v>17.88</v>
      </c>
      <c r="H82" s="79">
        <f>0.1*B82*I39</f>
        <v>0</v>
      </c>
      <c r="I82" s="79">
        <f>0.1*B82*J39</f>
        <v>3.7263036980737709</v>
      </c>
      <c r="J82" s="78">
        <f>1.123-(4.092*10^-3*K39)+(1.126*10^-5*K39^2)-(25.4/K39)</f>
        <v>0.53148318112676063</v>
      </c>
      <c r="K82" s="78">
        <f>1.164-(5.16*10^-3*K39)+(1.308*10^-5*K39^2)-37.4/K39</f>
        <v>0.33681571661971832</v>
      </c>
      <c r="L82" s="43">
        <f>((B82+D82+G82+H82+I82)/J82+E82/K82)/(K39/100)</f>
        <v>193.18189284284051</v>
      </c>
      <c r="M82" s="43">
        <f>L82*M39*365/$A$89</f>
        <v>79.824216099211455</v>
      </c>
      <c r="O82" s="81">
        <f>L82/$A$92/B39</f>
        <v>1.9037387814027154E-2</v>
      </c>
      <c r="Q82" s="7"/>
    </row>
    <row r="83" spans="1:17">
      <c r="A83" s="22" t="str">
        <f>A78</f>
        <v>Growing animals</v>
      </c>
      <c r="B83" s="78">
        <f>C83*B40^0.75</f>
        <v>26.055949567382328</v>
      </c>
      <c r="C83" s="21">
        <v>0.32200000000000001</v>
      </c>
      <c r="D83" s="79">
        <f>IF(D40="Stall fed",0,0.17*B83)</f>
        <v>4.4295114264549964</v>
      </c>
      <c r="E83" s="82">
        <f>22.02*(B40/(F83*Q40))^0.75*C40^1.097</f>
        <v>11.189723178677667</v>
      </c>
      <c r="F83" s="21">
        <v>0.8</v>
      </c>
      <c r="G83" s="79">
        <f>E40*(1.47+0.4*G40)</f>
        <v>0</v>
      </c>
      <c r="H83" s="79">
        <f>0.1*B83*I40</f>
        <v>0</v>
      </c>
      <c r="I83" s="79">
        <f>0.1*B83*J40</f>
        <v>0</v>
      </c>
      <c r="J83" s="78">
        <f>1.123-(4.092*10^-3*K40)+(1.126*10^-5*K40^2)-(25.4/K40)</f>
        <v>0.53148318112676063</v>
      </c>
      <c r="K83" s="78">
        <f>1.164-(5.16*10^-3*K40)+(1.308*10^-5*K40^2)-37.4/K40</f>
        <v>0.33681571661971832</v>
      </c>
      <c r="L83" s="43">
        <f>((B83+D83+G83+H83+I83)/J83+E83/K83)/(K40/100)</f>
        <v>127.57931532033788</v>
      </c>
      <c r="M83" s="43">
        <f>L83*M40*365/$A$89</f>
        <v>52.716735953120754</v>
      </c>
      <c r="O83" s="81">
        <f>L83/$A$92/B40</f>
        <v>1.9756765825836298E-2</v>
      </c>
      <c r="Q83" s="7"/>
    </row>
    <row r="84" spans="1:17">
      <c r="A84" s="22" t="str">
        <f>A79</f>
        <v>Calves</v>
      </c>
      <c r="B84" s="78">
        <f>C84*B41^0.75</f>
        <v>14.145055158509242</v>
      </c>
      <c r="C84" s="21">
        <v>0.32200000000000001</v>
      </c>
      <c r="D84" s="79">
        <f>IF(D41="Stall fed",0,0.17*B84)</f>
        <v>2.4046593769465714</v>
      </c>
      <c r="E84" s="82">
        <f>22.02*(B41/(F84*Q41))^0.75*C41^1.097</f>
        <v>10.734671899003455</v>
      </c>
      <c r="F84" s="21">
        <v>0.8</v>
      </c>
      <c r="G84" s="79">
        <f>E41*(1.47+0.4*G41)</f>
        <v>0</v>
      </c>
      <c r="H84" s="79">
        <f>0.1*B84*I41</f>
        <v>0</v>
      </c>
      <c r="I84" s="79">
        <f>0.1*B84*J41</f>
        <v>0</v>
      </c>
      <c r="J84" s="78">
        <f>1.123-(4.092*10^-3*K41)+(1.126*10^-5*K41^2)-(25.4/K41)</f>
        <v>0.53148318112676063</v>
      </c>
      <c r="K84" s="78">
        <f>1.164-(5.16*10^-3*K41)+(1.308*10^-5*K41^2)-37.4/K41</f>
        <v>0.33681571661971832</v>
      </c>
      <c r="L84" s="43">
        <f>((B84+D84+G84+H84+I84)/J84+E84/K84)/(K41/100)</f>
        <v>88.746183311318191</v>
      </c>
      <c r="M84" s="43">
        <f>L84*M41*365/$A$89</f>
        <v>36.67059272675224</v>
      </c>
      <c r="O84" s="81">
        <f>L84/$A$92/B41</f>
        <v>3.1032846686360065E-2</v>
      </c>
      <c r="Q84" s="7"/>
    </row>
    <row r="86" spans="1:17">
      <c r="A86" s="62"/>
      <c r="B86" s="161"/>
      <c r="C86" s="161"/>
      <c r="D86" s="162"/>
      <c r="E86" s="161"/>
      <c r="F86" s="161"/>
      <c r="G86" s="161"/>
      <c r="H86" s="161"/>
      <c r="J86" s="161"/>
      <c r="K86" s="161"/>
      <c r="M86" s="161"/>
      <c r="N86" s="163"/>
      <c r="P86" s="164"/>
    </row>
    <row r="87" spans="1:17" ht="13.5" thickBot="1"/>
    <row r="88" spans="1:17">
      <c r="A88" s="55" t="s">
        <v>15</v>
      </c>
      <c r="B88" s="56"/>
    </row>
    <row r="89" spans="1:17" ht="13.5" thickBot="1">
      <c r="A89" s="165">
        <v>55.65</v>
      </c>
      <c r="B89" s="54" t="s">
        <v>16</v>
      </c>
    </row>
    <row r="90" spans="1:17" ht="13.5" thickBot="1"/>
    <row r="91" spans="1:17">
      <c r="A91" s="55" t="s">
        <v>17</v>
      </c>
      <c r="B91" s="56"/>
    </row>
    <row r="92" spans="1:17" ht="13.5" thickBot="1">
      <c r="A92" s="165">
        <v>18.45</v>
      </c>
      <c r="B92" s="54" t="s">
        <v>16</v>
      </c>
    </row>
    <row r="136" spans="4:15">
      <c r="D136" s="11"/>
      <c r="N136" s="11"/>
      <c r="O136" s="11"/>
    </row>
    <row r="137" spans="4:15">
      <c r="N137" s="11"/>
    </row>
    <row r="138" spans="4:15">
      <c r="N138" s="11"/>
    </row>
    <row r="139" spans="4:15">
      <c r="N139" s="11"/>
    </row>
    <row r="140" spans="4:15">
      <c r="N140" s="11"/>
    </row>
    <row r="141" spans="4:15">
      <c r="N141" s="11"/>
    </row>
    <row r="142" spans="4:15">
      <c r="N142" s="11"/>
    </row>
  </sheetData>
  <mergeCells count="3">
    <mergeCell ref="A4:A5"/>
    <mergeCell ref="D4:D5"/>
    <mergeCell ref="J4:J5"/>
  </mergeCells>
  <phoneticPr fontId="2" type="noConversion"/>
  <pageMargins left="0.23622047244094491" right="0.23622047244094491" top="0.74803149606299213" bottom="0.74803149606299213" header="0.31496062992125984" footer="0.31496062992125984"/>
  <pageSetup paperSize="9" scale="75" orientation="landscape" r:id="rId1"/>
  <headerFooter alignWithMargins="0"/>
  <customProperties>
    <customPr name="EpmWorksheetKeyString_GUID" r:id="rId2"/>
  </customProperties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I41"/>
  <sheetViews>
    <sheetView zoomScale="80" zoomScaleNormal="80" workbookViewId="0">
      <selection activeCell="L39" sqref="L39"/>
    </sheetView>
  </sheetViews>
  <sheetFormatPr defaultRowHeight="12.75"/>
  <cols>
    <col min="1" max="1" width="21.28515625" customWidth="1"/>
    <col min="2" max="3" width="11.85546875" style="1" customWidth="1"/>
    <col min="4" max="4" width="12.140625" customWidth="1"/>
    <col min="5" max="5" width="14.7109375" style="1" customWidth="1"/>
    <col min="6" max="7" width="8.7109375" style="1"/>
    <col min="8" max="8" width="11.140625" style="1" customWidth="1"/>
    <col min="9" max="9" width="15.140625" style="1" customWidth="1"/>
  </cols>
  <sheetData>
    <row r="2" spans="1:9">
      <c r="A2" s="4" t="s">
        <v>80</v>
      </c>
    </row>
    <row r="3" spans="1:9" ht="13.5" thickBot="1"/>
    <row r="4" spans="1:9" ht="38.25">
      <c r="A4" s="90"/>
      <c r="B4" s="100" t="s">
        <v>10</v>
      </c>
      <c r="C4" s="91" t="s">
        <v>41</v>
      </c>
      <c r="D4" s="100" t="s">
        <v>31</v>
      </c>
      <c r="E4" s="8" t="s">
        <v>48</v>
      </c>
      <c r="F4" s="100" t="s">
        <v>32</v>
      </c>
      <c r="G4" s="91" t="s">
        <v>33</v>
      </c>
      <c r="H4" s="64" t="s">
        <v>50</v>
      </c>
      <c r="I4" s="95" t="s">
        <v>79</v>
      </c>
    </row>
    <row r="5" spans="1:9" ht="39" thickBot="1">
      <c r="A5" s="92"/>
      <c r="B5" s="136" t="s">
        <v>65</v>
      </c>
      <c r="C5" s="144" t="str">
        <f>B5</f>
        <v>from enteric section</v>
      </c>
      <c r="D5" s="136" t="str">
        <f>C5</f>
        <v>from enteric section</v>
      </c>
      <c r="E5" s="144" t="str">
        <f>D5</f>
        <v>from enteric section</v>
      </c>
      <c r="F5" s="65"/>
      <c r="G5" s="15"/>
      <c r="H5" s="145" t="s">
        <v>77</v>
      </c>
      <c r="I5" s="146" t="s">
        <v>78</v>
      </c>
    </row>
    <row r="6" spans="1:9">
      <c r="A6" s="132" t="str">
        <f>Enteric_19!A49</f>
        <v>Indian Subcontinent</v>
      </c>
      <c r="B6" s="133"/>
      <c r="C6" s="133"/>
      <c r="D6" s="134"/>
      <c r="E6" s="135"/>
      <c r="F6" s="135"/>
      <c r="G6" s="135"/>
      <c r="H6" s="119">
        <f>SUMPRODUCT(H7:H11,E7:E11)</f>
        <v>4.400072233626708</v>
      </c>
      <c r="I6" s="119">
        <f>SUMPRODUCT(I7:I11,E7:E11)</f>
        <v>15.023347275048479</v>
      </c>
    </row>
    <row r="7" spans="1:9">
      <c r="A7" s="2" t="str">
        <f>Enteric_19!A7</f>
        <v>Breeding males</v>
      </c>
      <c r="B7" s="120">
        <f>Enteric_19!L50</f>
        <v>192.70753668997696</v>
      </c>
      <c r="C7" s="120">
        <f>Enteric_19!B7</f>
        <v>560</v>
      </c>
      <c r="D7" s="121">
        <f>Enteric_19!K7</f>
        <v>55</v>
      </c>
      <c r="E7" s="122">
        <f>Enteric_19!N7</f>
        <v>0.01</v>
      </c>
      <c r="F7" s="123">
        <v>0.04</v>
      </c>
      <c r="G7" s="123">
        <v>0.08</v>
      </c>
      <c r="H7" s="124">
        <f>(B7*(1-D7/100)+F7*B7)*(1-G7)/18.45</f>
        <v>4.7085397040564567</v>
      </c>
      <c r="I7" s="124">
        <f>H7*1000/C7</f>
        <v>8.4081066143865293</v>
      </c>
    </row>
    <row r="8" spans="1:9">
      <c r="A8" s="2" t="str">
        <f>Enteric_19!A8</f>
        <v>Working males</v>
      </c>
      <c r="B8" s="120">
        <f>Enteric_19!L51</f>
        <v>187.34520130774675</v>
      </c>
      <c r="C8" s="120">
        <f>Enteric_19!B8</f>
        <v>560</v>
      </c>
      <c r="D8" s="121">
        <f>Enteric_19!K8</f>
        <v>55</v>
      </c>
      <c r="E8" s="122">
        <f>Enteric_19!N8</f>
        <v>0.04</v>
      </c>
      <c r="F8" s="123">
        <v>0.04</v>
      </c>
      <c r="G8" s="123">
        <v>0.08</v>
      </c>
      <c r="H8" s="124">
        <f>(B8*(1-D8/100)+F8*B8)*(1-G8)/18.45</f>
        <v>4.5775185230098776</v>
      </c>
      <c r="I8" s="124">
        <f>H8*1000/C8</f>
        <v>8.1741402196604955</v>
      </c>
    </row>
    <row r="9" spans="1:9">
      <c r="A9" s="2" t="str">
        <f>Enteric_19!A9</f>
        <v>Mature Females</v>
      </c>
      <c r="B9" s="120">
        <f>Enteric_19!L52</f>
        <v>276.64811992574886</v>
      </c>
      <c r="C9" s="120">
        <f>Enteric_19!B9</f>
        <v>480</v>
      </c>
      <c r="D9" s="121">
        <f>Enteric_19!K9</f>
        <v>55</v>
      </c>
      <c r="E9" s="122">
        <f>Enteric_19!N9</f>
        <v>0.48</v>
      </c>
      <c r="F9" s="123">
        <v>0.04</v>
      </c>
      <c r="G9" s="123">
        <v>0.08</v>
      </c>
      <c r="H9" s="124">
        <f>(B9*(1-D9/100)+F9*B9)*(1-G9)/18.45</f>
        <v>6.759510702576021</v>
      </c>
      <c r="I9" s="124">
        <f>H9*1000/C9</f>
        <v>14.082313963700043</v>
      </c>
    </row>
    <row r="10" spans="1:9">
      <c r="A10" s="2" t="str">
        <f>Enteric_19!A10</f>
        <v>Growing animals</v>
      </c>
      <c r="B10" s="120">
        <f>Enteric_19!L53</f>
        <v>96.997052890066556</v>
      </c>
      <c r="C10" s="120">
        <f>Enteric_19!B10</f>
        <v>195</v>
      </c>
      <c r="D10" s="121">
        <f>Enteric_19!K10</f>
        <v>59</v>
      </c>
      <c r="E10" s="122">
        <f>Enteric_19!N10</f>
        <v>0.21</v>
      </c>
      <c r="F10" s="123">
        <v>0.04</v>
      </c>
      <c r="G10" s="123">
        <v>0.08</v>
      </c>
      <c r="H10" s="124">
        <f>(B10*(1-D10/100)+F10*B10)*(1-G10)/18.45</f>
        <v>2.1765192355819818</v>
      </c>
      <c r="I10" s="124">
        <f>H10*1000/C10</f>
        <v>11.161637105548625</v>
      </c>
    </row>
    <row r="11" spans="1:9">
      <c r="A11" s="2" t="str">
        <f>Enteric_19!A11</f>
        <v xml:space="preserve">Calves </v>
      </c>
      <c r="B11" s="120">
        <f>Enteric_19!L54</f>
        <v>75.244285681067296</v>
      </c>
      <c r="C11" s="120">
        <f>Enteric_19!B11</f>
        <v>85</v>
      </c>
      <c r="D11" s="121">
        <f>Enteric_19!K11</f>
        <v>56</v>
      </c>
      <c r="E11" s="122">
        <f>Enteric_19!N11</f>
        <v>0.26</v>
      </c>
      <c r="F11" s="123">
        <v>0.04</v>
      </c>
      <c r="G11" s="123">
        <v>0.08</v>
      </c>
      <c r="H11" s="124">
        <f>(B11*(1-D11/100)+F11*B11)*(1-G11)/18.45</f>
        <v>1.8009689190655458</v>
      </c>
      <c r="I11" s="124">
        <f>H11*1000/C11</f>
        <v>21.187869636065244</v>
      </c>
    </row>
    <row r="12" spans="1:9">
      <c r="A12" s="117" t="str">
        <f>Enteric_19!A12</f>
        <v>Asia</v>
      </c>
      <c r="B12" s="125"/>
      <c r="C12" s="125"/>
      <c r="D12" s="126"/>
      <c r="E12" s="127"/>
      <c r="F12" s="128"/>
      <c r="G12" s="128"/>
      <c r="H12" s="119">
        <f>SUMPRODUCT(H13:H16,E13:E16)</f>
        <v>4.0704169048214078</v>
      </c>
      <c r="I12" s="119">
        <f>SUMPRODUCT(I13:I16,E13:E16)</f>
        <v>13.49450009937142</v>
      </c>
    </row>
    <row r="13" spans="1:9">
      <c r="A13" s="2" t="str">
        <f>Enteric_19!A13</f>
        <v>Mature Males</v>
      </c>
      <c r="B13" s="120">
        <f>Enteric_19!L56</f>
        <v>190.73432102223347</v>
      </c>
      <c r="C13" s="120">
        <f>Enteric_19!B13</f>
        <v>490</v>
      </c>
      <c r="D13" s="121">
        <f>Enteric_19!K13</f>
        <v>55</v>
      </c>
      <c r="E13" s="122">
        <f>Enteric_19!N13</f>
        <v>0.2</v>
      </c>
      <c r="F13" s="123">
        <v>0.04</v>
      </c>
      <c r="G13" s="123">
        <v>0.08</v>
      </c>
      <c r="H13" s="124">
        <f>(B13*(1-D13/100)+F13*B13)*(1-G13)/18.45</f>
        <v>4.6603269331611301</v>
      </c>
      <c r="I13" s="124">
        <f>H13*1000/C13</f>
        <v>9.5108712921655716</v>
      </c>
    </row>
    <row r="14" spans="1:9">
      <c r="A14" s="2" t="str">
        <f>Enteric_19!A14</f>
        <v>Mature Females</v>
      </c>
      <c r="B14" s="120">
        <f>Enteric_19!L57</f>
        <v>215.10538421280452</v>
      </c>
      <c r="C14" s="120">
        <f>Enteric_19!B14</f>
        <v>420</v>
      </c>
      <c r="D14" s="121">
        <f>Enteric_19!K14</f>
        <v>55</v>
      </c>
      <c r="E14" s="122">
        <f>Enteric_19!N14</f>
        <v>0.4</v>
      </c>
      <c r="F14" s="123">
        <v>0.04</v>
      </c>
      <c r="G14" s="123">
        <v>0.08</v>
      </c>
      <c r="H14" s="124">
        <f>(B14*(1-D14/100)+F14*B14)*(1-G14)/18.45</f>
        <v>5.2557998484082535</v>
      </c>
      <c r="I14" s="124">
        <f>H14*1000/C14</f>
        <v>12.513809162876795</v>
      </c>
    </row>
    <row r="15" spans="1:9">
      <c r="A15" s="2" t="str">
        <f>Enteric_19!A15</f>
        <v>Growing animals</v>
      </c>
      <c r="B15" s="120">
        <f>Enteric_19!L58</f>
        <v>120.93164176933165</v>
      </c>
      <c r="C15" s="120">
        <f>Enteric_19!B15</f>
        <v>225</v>
      </c>
      <c r="D15" s="121">
        <f>Enteric_19!K15</f>
        <v>55</v>
      </c>
      <c r="E15" s="122">
        <f>Enteric_19!N15</f>
        <v>0.25</v>
      </c>
      <c r="F15" s="123">
        <v>0.04</v>
      </c>
      <c r="G15" s="123">
        <v>0.08</v>
      </c>
      <c r="H15" s="124">
        <f>(B15*(1-D15/100)+F15*B15)*(1-G15)/18.45</f>
        <v>2.9547958866999844</v>
      </c>
      <c r="I15" s="124">
        <f>H15*1000/C15</f>
        <v>13.132426163111042</v>
      </c>
    </row>
    <row r="16" spans="1:9">
      <c r="A16" s="2" t="str">
        <f>Enteric_19!A16</f>
        <v xml:space="preserve">Calves </v>
      </c>
      <c r="B16" s="120">
        <f>Enteric_19!L59</f>
        <v>81.126687399198687</v>
      </c>
      <c r="C16" s="120">
        <f>Enteric_19!B16</f>
        <v>90</v>
      </c>
      <c r="D16" s="121">
        <f>Enteric_19!K16</f>
        <v>55</v>
      </c>
      <c r="E16" s="122">
        <f>Enteric_19!N16</f>
        <v>0.15</v>
      </c>
      <c r="F16" s="123">
        <v>0.04</v>
      </c>
      <c r="G16" s="123">
        <v>0.08</v>
      </c>
      <c r="H16" s="124">
        <f>(B16*(1-D16/100)+F16*B16)*(1-G16)/18.45</f>
        <v>1.982217381005895</v>
      </c>
      <c r="I16" s="124">
        <f>H16*1000/C16</f>
        <v>22.024637566732167</v>
      </c>
    </row>
    <row r="17" spans="1:9">
      <c r="A17" s="117" t="str">
        <f>Enteric_19!A17</f>
        <v>Latin America</v>
      </c>
      <c r="B17" s="129"/>
      <c r="C17" s="129"/>
      <c r="D17" s="130"/>
      <c r="E17" s="131"/>
      <c r="F17" s="118"/>
      <c r="G17" s="118"/>
      <c r="H17" s="119">
        <f>SUMPRODUCT(H18:H21,E18:E21)</f>
        <v>3.2286737361020514</v>
      </c>
      <c r="I17" s="119">
        <f>SUMPRODUCT(I18:I21,E18:E21)</f>
        <v>11.236485104321801</v>
      </c>
    </row>
    <row r="18" spans="1:9">
      <c r="A18" s="2" t="str">
        <f>Enteric_19!A18</f>
        <v>Mature Males</v>
      </c>
      <c r="B18" s="120">
        <f>Enteric_19!L61</f>
        <v>187.75636111293008</v>
      </c>
      <c r="C18" s="120">
        <f>Enteric_19!B18</f>
        <v>650</v>
      </c>
      <c r="D18" s="121">
        <f>Enteric_19!K18</f>
        <v>60</v>
      </c>
      <c r="E18" s="122">
        <f>Enteric_19!N18</f>
        <v>0.04</v>
      </c>
      <c r="F18" s="123">
        <v>0.04</v>
      </c>
      <c r="G18" s="123">
        <v>0.08</v>
      </c>
      <c r="H18" s="124">
        <f>(B18*(1-D18/100)+F18*B18)*(1-G18)/18.45</f>
        <v>4.1194457982934471</v>
      </c>
      <c r="I18" s="124">
        <f>H18*1000/C18</f>
        <v>6.3376089204514576</v>
      </c>
    </row>
    <row r="19" spans="1:9">
      <c r="A19" s="2" t="str">
        <f>Enteric_19!A19</f>
        <v>Mature Females</v>
      </c>
      <c r="B19" s="120">
        <f>Enteric_19!L62</f>
        <v>230.40192064936147</v>
      </c>
      <c r="C19" s="120">
        <f>Enteric_19!B19</f>
        <v>500</v>
      </c>
      <c r="D19" s="121">
        <f>Enteric_19!K19</f>
        <v>60</v>
      </c>
      <c r="E19" s="122">
        <f>Enteric_19!N19</f>
        <v>0.4</v>
      </c>
      <c r="F19" s="123">
        <v>0.04</v>
      </c>
      <c r="G19" s="123">
        <v>0.08</v>
      </c>
      <c r="H19" s="124">
        <f>(B19*(1-D19/100)+F19*B19)*(1-G19)/18.45</f>
        <v>5.0551055544098391</v>
      </c>
      <c r="I19" s="124">
        <f>H19*1000/C19</f>
        <v>10.110211108819678</v>
      </c>
    </row>
    <row r="20" spans="1:9">
      <c r="A20" s="2" t="str">
        <f>Enteric_19!A20</f>
        <v>Growing animals</v>
      </c>
      <c r="B20" s="120">
        <f>Enteric_19!L63</f>
        <v>117.05933608461136</v>
      </c>
      <c r="C20" s="120">
        <f>Enteric_19!B20</f>
        <v>240</v>
      </c>
      <c r="D20" s="121">
        <f>Enteric_19!K20</f>
        <v>60</v>
      </c>
      <c r="E20" s="122">
        <f>Enteric_19!N20</f>
        <v>0.26</v>
      </c>
      <c r="F20" s="123">
        <v>0.04</v>
      </c>
      <c r="G20" s="123">
        <v>0.08</v>
      </c>
      <c r="H20" s="124">
        <f>(B20*(1-D20/100)+F20*B20)*(1-G20)/18.45</f>
        <v>2.5683262464526115</v>
      </c>
      <c r="I20" s="124">
        <f>H20*1000/C20</f>
        <v>10.701359360219215</v>
      </c>
    </row>
    <row r="21" spans="1:9">
      <c r="A21" s="2" t="str">
        <f>Enteric_19!A21</f>
        <v xml:space="preserve">Calves </v>
      </c>
      <c r="B21" s="120">
        <f>Enteric_19!L64</f>
        <v>56.834152142329494</v>
      </c>
      <c r="C21" s="120">
        <f>Enteric_19!B21</f>
        <v>90</v>
      </c>
      <c r="D21" s="121">
        <f>Enteric_19!K21</f>
        <v>60</v>
      </c>
      <c r="E21" s="122">
        <f>Enteric_19!N21</f>
        <v>0.3</v>
      </c>
      <c r="F21" s="123">
        <v>0.04</v>
      </c>
      <c r="G21" s="123">
        <v>0.08</v>
      </c>
      <c r="H21" s="124">
        <f>(B21*(1-D21/100)+F21*B21)*(1-G21)/18.45</f>
        <v>1.2469628610956629</v>
      </c>
      <c r="I21" s="124">
        <f>H21*1000/C21</f>
        <v>13.855142901062921</v>
      </c>
    </row>
    <row r="22" spans="1:9">
      <c r="A22" s="117" t="str">
        <f>Enteric_19!A22</f>
        <v>Africa</v>
      </c>
      <c r="B22" s="129"/>
      <c r="C22" s="129"/>
      <c r="D22" s="130"/>
      <c r="E22" s="131"/>
      <c r="F22" s="118"/>
      <c r="G22" s="118"/>
      <c r="H22" s="119">
        <f>SUMPRODUCT(H23:H26,E23:E26)</f>
        <v>4.045324157509933</v>
      </c>
      <c r="I22" s="119">
        <f>SUMPRODUCT(I23:I26,E23:E26)</f>
        <v>12.941275579708892</v>
      </c>
    </row>
    <row r="23" spans="1:9">
      <c r="A23" s="2" t="str">
        <f>Enteric_19!A23</f>
        <v>Mature Males</v>
      </c>
      <c r="B23" s="120">
        <f>Enteric_19!L66</f>
        <v>205.54138070003614</v>
      </c>
      <c r="C23" s="120">
        <f>Enteric_19!B23</f>
        <v>590</v>
      </c>
      <c r="D23" s="121">
        <f>Enteric_19!K23</f>
        <v>58</v>
      </c>
      <c r="E23" s="122">
        <f>Enteric_19!N23</f>
        <v>0.06</v>
      </c>
      <c r="F23" s="123">
        <v>0.04</v>
      </c>
      <c r="G23" s="123">
        <v>0.08</v>
      </c>
      <c r="H23" s="124">
        <f>(B23*(1-D23/100)+F23*B23)*(1-G23)/18.45</f>
        <v>4.714640233726576</v>
      </c>
      <c r="I23" s="124">
        <f>H23*1000/C23</f>
        <v>7.9909156503840277</v>
      </c>
    </row>
    <row r="24" spans="1:9">
      <c r="A24" s="2" t="str">
        <f>Enteric_19!A24</f>
        <v>Mature Females</v>
      </c>
      <c r="B24" s="120">
        <f>Enteric_19!L67</f>
        <v>233.48991195949108</v>
      </c>
      <c r="C24" s="120">
        <f>Enteric_19!B24</f>
        <v>440</v>
      </c>
      <c r="D24" s="121">
        <f>Enteric_19!K24</f>
        <v>58</v>
      </c>
      <c r="E24" s="122">
        <f>Enteric_19!N24</f>
        <v>0.42</v>
      </c>
      <c r="F24" s="123">
        <v>0.04</v>
      </c>
      <c r="G24" s="123">
        <v>0.08</v>
      </c>
      <c r="H24" s="124">
        <f>(B24*(1-D24/100)+F24*B24)*(1-G24)/18.45</f>
        <v>5.3557144033201434</v>
      </c>
      <c r="I24" s="124">
        <f>H24*1000/C24</f>
        <v>12.172078189363962</v>
      </c>
    </row>
    <row r="25" spans="1:9">
      <c r="A25" s="2" t="str">
        <f>Enteric_19!A25</f>
        <v>Growing animals</v>
      </c>
      <c r="B25" s="120">
        <f>Enteric_19!L68</f>
        <v>147.54608559421953</v>
      </c>
      <c r="C25" s="120">
        <f>Enteric_19!B25</f>
        <v>300</v>
      </c>
      <c r="D25" s="121">
        <f>Enteric_19!K25</f>
        <v>58</v>
      </c>
      <c r="E25" s="122">
        <f>Enteric_19!N25</f>
        <v>0.32</v>
      </c>
      <c r="F25" s="123">
        <v>0.04</v>
      </c>
      <c r="G25" s="123">
        <v>0.08</v>
      </c>
      <c r="H25" s="124">
        <f>(B25*(1-D25/100)+F25*B25)*(1-G25)/18.45</f>
        <v>3.3843633291855677</v>
      </c>
      <c r="I25" s="124">
        <f>H25*1000/C25</f>
        <v>11.281211097285226</v>
      </c>
    </row>
    <row r="26" spans="1:9">
      <c r="A26" s="2" t="str">
        <f>Enteric_19!A26</f>
        <v xml:space="preserve">Calves </v>
      </c>
      <c r="B26" s="120">
        <f>Enteric_19!L69</f>
        <v>93.743052463180121</v>
      </c>
      <c r="C26" s="120">
        <f>Enteric_19!B26</f>
        <v>115</v>
      </c>
      <c r="D26" s="121">
        <f>Enteric_19!K26</f>
        <v>58</v>
      </c>
      <c r="E26" s="122">
        <f>Enteric_19!N26</f>
        <v>0.2</v>
      </c>
      <c r="F26" s="123">
        <v>0.04</v>
      </c>
      <c r="G26" s="123">
        <v>0.08</v>
      </c>
      <c r="H26" s="124">
        <f>(B26*(1-D26/100)+F26*B26)*(1-G26)/18.45</f>
        <v>2.1502471437624844</v>
      </c>
      <c r="I26" s="124">
        <f>H26*1000/C26</f>
        <v>18.697801250108562</v>
      </c>
    </row>
    <row r="27" spans="1:9">
      <c r="A27" s="117" t="str">
        <f>Enteric_19!A27</f>
        <v>Middle East</v>
      </c>
      <c r="B27" s="129"/>
      <c r="C27" s="129"/>
      <c r="D27" s="130"/>
      <c r="E27" s="131"/>
      <c r="F27" s="118"/>
      <c r="G27" s="118"/>
      <c r="H27" s="119">
        <f>SUMPRODUCT(H28:H31,E28:E31)</f>
        <v>3.167497435644139</v>
      </c>
      <c r="I27" s="119">
        <f>SUMPRODUCT(I28:I31,E28:E31)</f>
        <v>9.7900756360520571</v>
      </c>
    </row>
    <row r="28" spans="1:9">
      <c r="A28" s="2" t="str">
        <f>Enteric_19!A28</f>
        <v>Mature Males</v>
      </c>
      <c r="B28" s="120">
        <f>Enteric_19!L71</f>
        <v>209.74150767059797</v>
      </c>
      <c r="C28" s="120">
        <f>Enteric_19!B28</f>
        <v>650</v>
      </c>
      <c r="D28" s="121">
        <f>Enteric_19!K28</f>
        <v>60</v>
      </c>
      <c r="E28" s="122">
        <f>Enteric_19!N28</f>
        <v>0.05</v>
      </c>
      <c r="F28" s="123">
        <v>0.04</v>
      </c>
      <c r="G28" s="123">
        <v>0.08</v>
      </c>
      <c r="H28" s="124">
        <f>(B28*(1-D28/100)+F28*B28)*(1-G28)/18.45</f>
        <v>4.6018082550166968</v>
      </c>
      <c r="I28" s="124">
        <f>H28*1000/C28</f>
        <v>7.0797050077179948</v>
      </c>
    </row>
    <row r="29" spans="1:9">
      <c r="A29" s="2" t="str">
        <f>Enteric_19!A29</f>
        <v>Mature Females</v>
      </c>
      <c r="B29" s="120">
        <f>Enteric_19!L72</f>
        <v>200.70465025329077</v>
      </c>
      <c r="C29" s="120">
        <f>Enteric_19!B29</f>
        <v>520</v>
      </c>
      <c r="D29" s="121">
        <f>Enteric_19!K29</f>
        <v>65</v>
      </c>
      <c r="E29" s="122">
        <f>Enteric_19!N29</f>
        <v>0.52</v>
      </c>
      <c r="F29" s="123">
        <v>0.04</v>
      </c>
      <c r="G29" s="123">
        <v>0.08</v>
      </c>
      <c r="H29" s="124">
        <f>(B29*(1-D29/100)+F29*B29)*(1-G29)/18.45</f>
        <v>3.9031343366331015</v>
      </c>
      <c r="I29" s="124">
        <f>H29*1000/C29</f>
        <v>7.5060275704482722</v>
      </c>
    </row>
    <row r="30" spans="1:9">
      <c r="A30" s="2" t="str">
        <f>Enteric_19!A30</f>
        <v>Growing animals</v>
      </c>
      <c r="B30" s="120">
        <f>Enteric_19!L73</f>
        <v>117.77976364151277</v>
      </c>
      <c r="C30" s="120">
        <f>Enteric_19!B30</f>
        <v>255</v>
      </c>
      <c r="D30" s="121">
        <f>Enteric_19!K30</f>
        <v>61</v>
      </c>
      <c r="E30" s="122">
        <f>Enteric_19!N30</f>
        <v>0.22</v>
      </c>
      <c r="F30" s="123">
        <v>0.04</v>
      </c>
      <c r="G30" s="123">
        <v>0.08</v>
      </c>
      <c r="H30" s="124">
        <f>(B30*(1-D30/100)+F30*B30)*(1-G30)/18.45</f>
        <v>2.5254024117388867</v>
      </c>
      <c r="I30" s="124">
        <f>H30*1000/C30</f>
        <v>9.9035388695642617</v>
      </c>
    </row>
    <row r="31" spans="1:9">
      <c r="A31" s="2" t="str">
        <f>Enteric_19!A31</f>
        <v xml:space="preserve">Calves </v>
      </c>
      <c r="B31" s="120">
        <f>Enteric_19!L74</f>
        <v>78.216095592894987</v>
      </c>
      <c r="C31" s="120">
        <f>Enteric_19!B31</f>
        <v>105</v>
      </c>
      <c r="D31" s="121">
        <f>Enteric_19!K31</f>
        <v>61</v>
      </c>
      <c r="E31" s="122">
        <f>Enteric_19!N31</f>
        <v>0.21</v>
      </c>
      <c r="F31" s="123">
        <v>0.04</v>
      </c>
      <c r="G31" s="123">
        <v>0.08</v>
      </c>
      <c r="H31" s="124">
        <f>(B31*(1-D31/100)+F31*B31)*(1-G31)/18.45</f>
        <v>1.6770887488644588</v>
      </c>
      <c r="I31" s="124">
        <f>H31*1000/C31</f>
        <v>15.97227379870913</v>
      </c>
    </row>
    <row r="32" spans="1:9">
      <c r="A32" s="117" t="str">
        <f>Enteric_19!A32</f>
        <v>Western Europe</v>
      </c>
      <c r="B32" s="129"/>
      <c r="C32" s="129"/>
      <c r="D32" s="130"/>
      <c r="E32" s="131"/>
      <c r="F32" s="118"/>
      <c r="G32" s="118"/>
      <c r="H32" s="119">
        <f>SUMPRODUCT(H33:H36,E33:E36)</f>
        <v>3.2944328672452405</v>
      </c>
      <c r="I32" s="119">
        <f>SUMPRODUCT(I33:I36,E33:E36)</f>
        <v>6.9732795543006958</v>
      </c>
    </row>
    <row r="33" spans="1:9">
      <c r="A33" s="2" t="str">
        <f>Enteric_19!A33</f>
        <v>Mature Males</v>
      </c>
      <c r="B33" s="120">
        <f>Enteric_19!L76</f>
        <v>142.61288699860759</v>
      </c>
      <c r="C33" s="120">
        <f>Enteric_19!B33</f>
        <v>650</v>
      </c>
      <c r="D33" s="121">
        <f>Enteric_19!K33</f>
        <v>65</v>
      </c>
      <c r="E33" s="122">
        <f>Enteric_19!N33</f>
        <v>0.03</v>
      </c>
      <c r="F33" s="123">
        <v>0.04</v>
      </c>
      <c r="G33" s="123">
        <v>0.08</v>
      </c>
      <c r="H33" s="124">
        <f>(B33*(1-D33/100)+F33*B33)*(1-G33)/18.45</f>
        <v>2.7734148430948733</v>
      </c>
      <c r="I33" s="124">
        <f>H33*1000/C33</f>
        <v>4.2667920662998053</v>
      </c>
    </row>
    <row r="34" spans="1:9">
      <c r="A34" s="2" t="str">
        <f>Enteric_19!A34</f>
        <v>Mature Females</v>
      </c>
      <c r="B34" s="120">
        <f>Enteric_19!L77</f>
        <v>197.02418424537942</v>
      </c>
      <c r="C34" s="120">
        <f>Enteric_19!B34</f>
        <v>615</v>
      </c>
      <c r="D34" s="121">
        <f>Enteric_19!K34</f>
        <v>65</v>
      </c>
      <c r="E34" s="122">
        <f>Enteric_19!N34</f>
        <v>0.59</v>
      </c>
      <c r="F34" s="123">
        <v>0.04</v>
      </c>
      <c r="G34" s="123">
        <v>0.08</v>
      </c>
      <c r="H34" s="124">
        <f>(B34*(1-D34/100)+F34*B34)*(1-G34)/18.45</f>
        <v>3.8315597456499804</v>
      </c>
      <c r="I34" s="124">
        <f>H34*1000/C34</f>
        <v>6.2301784482113503</v>
      </c>
    </row>
    <row r="35" spans="1:9">
      <c r="A35" s="2" t="str">
        <f>Enteric_19!A35</f>
        <v>Growing animals</v>
      </c>
      <c r="B35" s="120">
        <f>Enteric_19!L78</f>
        <v>142.298311654228</v>
      </c>
      <c r="C35" s="120">
        <f>Enteric_19!B35</f>
        <v>420</v>
      </c>
      <c r="D35" s="121">
        <f>Enteric_19!K35</f>
        <v>65</v>
      </c>
      <c r="E35" s="122">
        <f>Enteric_19!N35</f>
        <v>0.25</v>
      </c>
      <c r="F35" s="123">
        <v>0.04</v>
      </c>
      <c r="G35" s="123">
        <v>0.08</v>
      </c>
      <c r="H35" s="124">
        <f>(B35*(1-D35/100)+F35*B35)*(1-G35)/18.45</f>
        <v>2.7672972477797835</v>
      </c>
      <c r="I35" s="124">
        <f>H35*1000/C35</f>
        <v>6.5888029709042462</v>
      </c>
    </row>
    <row r="36" spans="1:9">
      <c r="A36" s="2" t="str">
        <f>Enteric_19!A36</f>
        <v xml:space="preserve">Calves </v>
      </c>
      <c r="B36" s="120">
        <f>Enteric_19!L79</f>
        <v>102.36255720702702</v>
      </c>
      <c r="C36" s="120">
        <f>Enteric_19!B36</f>
        <v>170</v>
      </c>
      <c r="D36" s="121">
        <f>Enteric_19!K36</f>
        <v>65</v>
      </c>
      <c r="E36" s="122">
        <f>Enteric_19!N36</f>
        <v>0.13</v>
      </c>
      <c r="F36" s="123">
        <v>0.04</v>
      </c>
      <c r="G36" s="123">
        <v>0.08</v>
      </c>
      <c r="H36" s="124">
        <f>(B36*(1-D36/100)+F36*B36)*(1-G36)/18.45</f>
        <v>1.9906604621073871</v>
      </c>
      <c r="I36" s="124">
        <f>H36*1000/C36</f>
        <v>11.7097674241611</v>
      </c>
    </row>
    <row r="37" spans="1:9">
      <c r="A37" s="117" t="str">
        <f>Enteric_19!A37</f>
        <v>Eastern Europe</v>
      </c>
      <c r="B37" s="129"/>
      <c r="C37" s="129"/>
      <c r="D37" s="130"/>
      <c r="E37" s="131"/>
      <c r="F37" s="118"/>
      <c r="G37" s="118"/>
      <c r="H37" s="119">
        <f>SUMPRODUCT(H38:H41,E38:E41)</f>
        <v>2.692870290649434</v>
      </c>
      <c r="I37" s="119">
        <f>SUMPRODUCT(I38:I41,E38:E41)</f>
        <v>6.2297320674830221</v>
      </c>
    </row>
    <row r="38" spans="1:9">
      <c r="A38" s="2" t="str">
        <f>Enteric_19!A38</f>
        <v>Mature Males</v>
      </c>
      <c r="B38" s="120">
        <f>Enteric_19!L81</f>
        <v>147.6810354900469</v>
      </c>
      <c r="C38" s="120">
        <f>Enteric_19!B38</f>
        <v>650</v>
      </c>
      <c r="D38" s="121">
        <f>Enteric_19!K38</f>
        <v>71</v>
      </c>
      <c r="E38" s="122">
        <f>Enteric_19!N38</f>
        <v>0.08</v>
      </c>
      <c r="F38" s="123">
        <v>0.04</v>
      </c>
      <c r="G38" s="123">
        <v>0.08</v>
      </c>
      <c r="H38" s="124">
        <f>(B38*(1-D38/100)+F38*B38)*(1-G38)/18.45</f>
        <v>2.4301334620476012</v>
      </c>
      <c r="I38" s="124">
        <f>H38*1000/C38</f>
        <v>3.7386668646886174</v>
      </c>
    </row>
    <row r="39" spans="1:9">
      <c r="A39" s="2" t="str">
        <f>Enteric_19!A39</f>
        <v>Mature Females</v>
      </c>
      <c r="B39" s="120">
        <f>Enteric_19!L82</f>
        <v>193.18189284284051</v>
      </c>
      <c r="C39" s="120">
        <f>Enteric_19!B39</f>
        <v>550</v>
      </c>
      <c r="D39" s="121">
        <f>Enteric_19!K39</f>
        <v>71</v>
      </c>
      <c r="E39" s="122">
        <f>Enteric_19!N39</f>
        <v>0.62</v>
      </c>
      <c r="F39" s="123">
        <v>0.04</v>
      </c>
      <c r="G39" s="123">
        <v>0.08</v>
      </c>
      <c r="H39" s="124">
        <f>(B39*(1-D39/100)+F39*B39)*(1-G39)/18.45</f>
        <v>3.1788630171862544</v>
      </c>
      <c r="I39" s="124">
        <f>H39*1000/C39</f>
        <v>5.7797509403386451</v>
      </c>
    </row>
    <row r="40" spans="1:9">
      <c r="A40" s="2" t="str">
        <f>Enteric_19!A40</f>
        <v>Growing animals</v>
      </c>
      <c r="B40" s="120">
        <f>Enteric_19!L83</f>
        <v>127.57931532033788</v>
      </c>
      <c r="C40" s="120">
        <f>Enteric_19!B40</f>
        <v>350</v>
      </c>
      <c r="D40" s="121">
        <f>Enteric_19!K40</f>
        <v>71</v>
      </c>
      <c r="E40" s="122">
        <f>Enteric_19!N40</f>
        <v>0.14000000000000001</v>
      </c>
      <c r="F40" s="123">
        <v>0.04</v>
      </c>
      <c r="G40" s="123">
        <v>0.08</v>
      </c>
      <c r="H40" s="124">
        <f>(B40*(1-D40/100)+F40*B40)*(1-G40)/18.45</f>
        <v>2.0993539366533653</v>
      </c>
      <c r="I40" s="124">
        <f>H40*1000/C40</f>
        <v>5.9981541047239011</v>
      </c>
    </row>
    <row r="41" spans="1:9">
      <c r="A41" s="2" t="str">
        <f>Enteric_19!A41</f>
        <v xml:space="preserve">Calves </v>
      </c>
      <c r="B41" s="120">
        <f>Enteric_19!L84</f>
        <v>88.746183311318191</v>
      </c>
      <c r="C41" s="120">
        <f>Enteric_19!B41</f>
        <v>155</v>
      </c>
      <c r="D41" s="121">
        <f>Enteric_19!K41</f>
        <v>71</v>
      </c>
      <c r="E41" s="122">
        <f>Enteric_19!N41</f>
        <v>0.16</v>
      </c>
      <c r="F41" s="123">
        <v>0.04</v>
      </c>
      <c r="G41" s="123">
        <v>0.08</v>
      </c>
      <c r="H41" s="124">
        <f>(B41*(1-D41/100)+F41*B41)*(1-G41)/18.45</f>
        <v>1.4603436993667323</v>
      </c>
      <c r="I41" s="124">
        <f>H41*1000/C41</f>
        <v>9.4215722539789173</v>
      </c>
    </row>
  </sheetData>
  <phoneticPr fontId="0" type="noConversion"/>
  <pageMargins left="0.23622047244094491" right="0.23622047244094491" top="0.74803149606299213" bottom="0.74803149606299213" header="0.31496062992125984" footer="0.31496062992125984"/>
  <pageSetup paperSize="9" scale="90" orientation="portrait" r:id="rId1"/>
  <customProperties>
    <customPr name="EpmWorksheetKeyString_GU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T44"/>
  <sheetViews>
    <sheetView tabSelected="1" zoomScale="70" zoomScaleNormal="70" workbookViewId="0">
      <selection activeCell="F50" sqref="F50"/>
    </sheetView>
  </sheetViews>
  <sheetFormatPr defaultRowHeight="12.75"/>
  <cols>
    <col min="1" max="1" width="19.5703125" style="7" customWidth="1"/>
    <col min="2" max="2" width="11.7109375" style="7" customWidth="1"/>
    <col min="3" max="3" width="10.42578125" style="7" customWidth="1"/>
    <col min="4" max="4" width="10.7109375" style="7" customWidth="1"/>
    <col min="5" max="5" width="9.140625" style="7"/>
    <col min="6" max="6" width="11" style="7" customWidth="1"/>
    <col min="7" max="7" width="9.85546875" style="7" customWidth="1"/>
    <col min="8" max="8" width="12.5703125" style="7" customWidth="1"/>
    <col min="9" max="9" width="12" style="7" customWidth="1"/>
    <col min="10" max="10" width="12.5703125" style="7" customWidth="1"/>
    <col min="11" max="11" width="12" style="7" customWidth="1"/>
    <col min="12" max="12" width="10.42578125" style="7" customWidth="1"/>
    <col min="13" max="13" width="11.85546875" style="7" customWidth="1"/>
    <col min="14" max="14" width="15.5703125" style="7" customWidth="1"/>
    <col min="15" max="15" width="11.28515625" style="7" customWidth="1"/>
    <col min="16" max="16" width="19.42578125" style="11" customWidth="1"/>
    <col min="17" max="17" width="11.85546875" style="4" customWidth="1"/>
    <col min="18" max="18" width="12.85546875" style="11" customWidth="1"/>
    <col min="19" max="20" width="9.140625" style="7"/>
    <col min="21" max="46" width="9.140625" style="7" customWidth="1"/>
    <col min="47" max="16384" width="9.140625" style="7"/>
  </cols>
  <sheetData>
    <row r="2" spans="1:18">
      <c r="A2" s="4" t="s">
        <v>81</v>
      </c>
    </row>
    <row r="3" spans="1:18" ht="16.5" thickBot="1">
      <c r="H3" s="89"/>
      <c r="J3" s="94"/>
      <c r="K3" s="4"/>
      <c r="N3" s="4"/>
    </row>
    <row r="4" spans="1:18" ht="63.75">
      <c r="A4" s="166"/>
      <c r="B4" s="64" t="s">
        <v>41</v>
      </c>
      <c r="C4" s="12" t="s">
        <v>34</v>
      </c>
      <c r="D4" s="64" t="s">
        <v>48</v>
      </c>
      <c r="E4" s="167" t="s">
        <v>35</v>
      </c>
      <c r="F4" s="64" t="s">
        <v>36</v>
      </c>
      <c r="G4" s="12" t="s">
        <v>60</v>
      </c>
      <c r="H4" s="64" t="s">
        <v>52</v>
      </c>
      <c r="I4" s="167" t="s">
        <v>37</v>
      </c>
      <c r="J4" s="64" t="s">
        <v>38</v>
      </c>
      <c r="K4" s="12" t="s">
        <v>39</v>
      </c>
      <c r="L4" s="64" t="s">
        <v>40</v>
      </c>
      <c r="M4" s="12" t="s">
        <v>62</v>
      </c>
      <c r="N4" s="64" t="s">
        <v>63</v>
      </c>
      <c r="O4" s="12" t="s">
        <v>64</v>
      </c>
      <c r="P4" s="101" t="s">
        <v>49</v>
      </c>
      <c r="Q4" s="64" t="s">
        <v>61</v>
      </c>
      <c r="R4" s="101" t="s">
        <v>42</v>
      </c>
    </row>
    <row r="5" spans="1:18" ht="51.75" thickBot="1">
      <c r="A5" s="72"/>
      <c r="B5" s="136" t="s">
        <v>65</v>
      </c>
      <c r="C5" s="136" t="s">
        <v>65</v>
      </c>
      <c r="D5" s="136" t="s">
        <v>65</v>
      </c>
      <c r="E5" s="136" t="s">
        <v>65</v>
      </c>
      <c r="F5" s="145" t="s">
        <v>82</v>
      </c>
      <c r="G5" s="93"/>
      <c r="H5" s="136" t="s">
        <v>65</v>
      </c>
      <c r="I5" s="136" t="s">
        <v>65</v>
      </c>
      <c r="J5" s="136" t="s">
        <v>83</v>
      </c>
      <c r="K5" s="136" t="s">
        <v>65</v>
      </c>
      <c r="L5" s="145"/>
      <c r="M5" s="144" t="s">
        <v>83</v>
      </c>
      <c r="N5" s="65"/>
      <c r="O5" s="144" t="s">
        <v>84</v>
      </c>
      <c r="P5" s="136" t="s">
        <v>85</v>
      </c>
      <c r="Q5" s="103"/>
      <c r="R5" s="102"/>
    </row>
    <row r="6" spans="1:18">
      <c r="A6" s="99" t="str">
        <f>Enteric_19!A6</f>
        <v>Indian Subcontinent</v>
      </c>
      <c r="B6" s="168"/>
      <c r="C6" s="168"/>
      <c r="D6" s="168"/>
      <c r="E6" s="19"/>
      <c r="F6" s="168"/>
      <c r="G6" s="168"/>
      <c r="H6" s="168"/>
      <c r="I6" s="168"/>
      <c r="J6" s="99"/>
      <c r="K6" s="168"/>
      <c r="L6" s="168"/>
      <c r="M6" s="168"/>
      <c r="N6" s="19"/>
      <c r="O6" s="169"/>
      <c r="P6" s="170">
        <f>SUMPRODUCT(P7:P11,D7:D11)</f>
        <v>8.6322251305839537E-2</v>
      </c>
      <c r="Q6" s="20">
        <f>SUMPRODUCT(Q7:Q11,D7:D11)</f>
        <v>63.220974910788165</v>
      </c>
      <c r="R6" s="170">
        <f>SUMPRODUCT(R7:R11,D7:D11)</f>
        <v>0.59498531643237373</v>
      </c>
    </row>
    <row r="7" spans="1:18">
      <c r="A7" s="47" t="str">
        <f>Enteric_19!A7</f>
        <v>Breeding males</v>
      </c>
      <c r="B7" s="31">
        <f>Enteric_19!B7</f>
        <v>560</v>
      </c>
      <c r="C7" s="31">
        <f>Enteric_19!L50</f>
        <v>192.70753668997696</v>
      </c>
      <c r="D7" s="30">
        <f>Enteric_19!N7</f>
        <v>0.01</v>
      </c>
      <c r="E7" s="30">
        <f>Enteric_19!L7</f>
        <v>0.12</v>
      </c>
      <c r="F7" s="45">
        <f>C7/18.45*(E7/6.25)</f>
        <v>0.20054117639282154</v>
      </c>
      <c r="G7" s="115">
        <f>F7*365</f>
        <v>73.197529383379859</v>
      </c>
      <c r="H7" s="104">
        <f>Enteric_19!E7</f>
        <v>0</v>
      </c>
      <c r="I7" s="104">
        <f>Enteric_19!G7</f>
        <v>0</v>
      </c>
      <c r="J7" s="98">
        <f>H7*I7/6.38</f>
        <v>0</v>
      </c>
      <c r="K7" s="105">
        <f>Enteric_19!C7</f>
        <v>0</v>
      </c>
      <c r="L7" s="106">
        <f>Enteric_19!E50</f>
        <v>0</v>
      </c>
      <c r="M7" s="106"/>
      <c r="N7" s="104">
        <f t="shared" ref="N7:N8" si="0">J7+M7</f>
        <v>0</v>
      </c>
      <c r="O7" s="113">
        <f>N7*365</f>
        <v>0</v>
      </c>
      <c r="P7" s="45">
        <f>N7/F7</f>
        <v>0</v>
      </c>
      <c r="Q7" s="31">
        <f>G7-O7</f>
        <v>73.197529383379859</v>
      </c>
      <c r="R7" s="45">
        <f>(Q7*1000/B7)/365</f>
        <v>0.3581092435586099</v>
      </c>
    </row>
    <row r="8" spans="1:18">
      <c r="A8" s="47" t="str">
        <f>Enteric_19!A8</f>
        <v>Working males</v>
      </c>
      <c r="B8" s="31">
        <f>Enteric_19!B8</f>
        <v>560</v>
      </c>
      <c r="C8" s="31">
        <f>Enteric_19!L51</f>
        <v>187.34520130774675</v>
      </c>
      <c r="D8" s="30">
        <f>Enteric_19!N8</f>
        <v>0.04</v>
      </c>
      <c r="E8" s="30">
        <f>Enteric_19!L8</f>
        <v>0.12</v>
      </c>
      <c r="F8" s="45">
        <f t="shared" ref="F8:F41" si="1">C8/18.45*(E8/6.25)</f>
        <v>0.19496085989749257</v>
      </c>
      <c r="G8" s="115">
        <f t="shared" ref="G8:G41" si="2">F8*365</f>
        <v>71.160713862584785</v>
      </c>
      <c r="H8" s="104">
        <f>Enteric_19!E8</f>
        <v>0</v>
      </c>
      <c r="I8" s="104">
        <f>Enteric_19!G8</f>
        <v>0</v>
      </c>
      <c r="J8" s="98">
        <f t="shared" ref="J8:J41" si="3">H8*I8/6.38</f>
        <v>0</v>
      </c>
      <c r="K8" s="105">
        <f>Enteric_19!C8</f>
        <v>0</v>
      </c>
      <c r="L8" s="106">
        <f>Enteric_19!E51</f>
        <v>0</v>
      </c>
      <c r="M8" s="106"/>
      <c r="N8" s="104">
        <f t="shared" si="0"/>
        <v>0</v>
      </c>
      <c r="O8" s="113">
        <f t="shared" ref="O8:O41" si="4">N8*365</f>
        <v>0</v>
      </c>
      <c r="P8" s="45">
        <f t="shared" ref="P8:P11" si="5">N8/F8</f>
        <v>0</v>
      </c>
      <c r="Q8" s="31">
        <f>G8-O8</f>
        <v>71.160713862584785</v>
      </c>
      <c r="R8" s="45">
        <f>(Q8*1000/B8)/365</f>
        <v>0.34814439267409386</v>
      </c>
    </row>
    <row r="9" spans="1:18">
      <c r="A9" s="47" t="str">
        <f>Enteric_19!A9</f>
        <v>Mature Females</v>
      </c>
      <c r="B9" s="31">
        <f>Enteric_19!B9</f>
        <v>480</v>
      </c>
      <c r="C9" s="31">
        <f>Enteric_19!L52</f>
        <v>276.64811992574886</v>
      </c>
      <c r="D9" s="30">
        <f>Enteric_19!N9</f>
        <v>0.48</v>
      </c>
      <c r="E9" s="30">
        <f>Enteric_19!L9</f>
        <v>0.12</v>
      </c>
      <c r="F9" s="45">
        <f t="shared" si="1"/>
        <v>0.28789397845931586</v>
      </c>
      <c r="G9" s="115">
        <f t="shared" si="2"/>
        <v>105.08130213765028</v>
      </c>
      <c r="H9" s="104">
        <f>Enteric_19!E9</f>
        <v>4.8</v>
      </c>
      <c r="I9" s="104">
        <f>Enteric_19!H9/100</f>
        <v>3.5000000000000003E-2</v>
      </c>
      <c r="J9" s="105">
        <f t="shared" si="3"/>
        <v>2.6332288401253921E-2</v>
      </c>
      <c r="K9" s="105">
        <f>Enteric_19!C9</f>
        <v>0</v>
      </c>
      <c r="L9" s="106">
        <f>Enteric_19!E52</f>
        <v>0</v>
      </c>
      <c r="M9" s="106"/>
      <c r="N9" s="104">
        <f>J9+M9</f>
        <v>2.6332288401253921E-2</v>
      </c>
      <c r="O9" s="113">
        <f t="shared" si="4"/>
        <v>9.6112852664576813</v>
      </c>
      <c r="P9" s="45">
        <f t="shared" si="5"/>
        <v>9.1465228075185687E-2</v>
      </c>
      <c r="Q9" s="31">
        <f>G9-O9</f>
        <v>95.470016871192598</v>
      </c>
      <c r="R9" s="45">
        <f>(Q9*1000/B9)/365</f>
        <v>0.54492018762096228</v>
      </c>
    </row>
    <row r="10" spans="1:18">
      <c r="A10" s="47" t="str">
        <f>Enteric_19!A10</f>
        <v>Growing animals</v>
      </c>
      <c r="B10" s="31">
        <f>Enteric_19!B10</f>
        <v>195</v>
      </c>
      <c r="C10" s="31">
        <f>Enteric_19!L53</f>
        <v>96.997052890066556</v>
      </c>
      <c r="D10" s="30">
        <f>Enteric_19!N10</f>
        <v>0.21</v>
      </c>
      <c r="E10" s="30">
        <f>Enteric_19!L10</f>
        <v>0.12</v>
      </c>
      <c r="F10" s="45">
        <f t="shared" si="1"/>
        <v>0.10094002251974406</v>
      </c>
      <c r="G10" s="115">
        <f t="shared" si="2"/>
        <v>36.843108219706579</v>
      </c>
      <c r="H10" s="104">
        <f>Enteric_19!E10</f>
        <v>0</v>
      </c>
      <c r="I10" s="104">
        <f>Enteric_19!G10</f>
        <v>0</v>
      </c>
      <c r="J10" s="105">
        <f t="shared" si="3"/>
        <v>0</v>
      </c>
      <c r="K10" s="105">
        <f>Enteric_19!C10</f>
        <v>0.31</v>
      </c>
      <c r="L10" s="106">
        <f>Enteric_19!E53</f>
        <v>4.6451370056724572</v>
      </c>
      <c r="M10" s="61">
        <f>((268-7.03*L10/K10)*K10/1000)/6.25</f>
        <v>8.0679498960196192E-3</v>
      </c>
      <c r="N10" s="104">
        <f t="shared" ref="N10:N11" si="6">J10+M10</f>
        <v>8.0679498960196192E-3</v>
      </c>
      <c r="O10" s="113">
        <f t="shared" si="4"/>
        <v>2.9448017120471612</v>
      </c>
      <c r="P10" s="45">
        <f t="shared" si="5"/>
        <v>7.9928156291440428E-2</v>
      </c>
      <c r="Q10" s="31">
        <f>G10-O10</f>
        <v>33.89830650765942</v>
      </c>
      <c r="R10" s="45">
        <f>(Q10*1000/B10)/365</f>
        <v>0.47626703909602275</v>
      </c>
    </row>
    <row r="11" spans="1:18">
      <c r="A11" s="47" t="str">
        <f>Enteric_19!A11</f>
        <v xml:space="preserve">Calves </v>
      </c>
      <c r="B11" s="31">
        <f>Enteric_19!B11</f>
        <v>85</v>
      </c>
      <c r="C11" s="31">
        <f>Enteric_19!L54</f>
        <v>75.244285681067296</v>
      </c>
      <c r="D11" s="30">
        <f>Enteric_19!N11</f>
        <v>0.26</v>
      </c>
      <c r="E11" s="30">
        <f>Enteric_19!L11</f>
        <v>0.12</v>
      </c>
      <c r="F11" s="45">
        <f t="shared" si="1"/>
        <v>7.8302996481110693E-2</v>
      </c>
      <c r="G11" s="115">
        <f t="shared" si="2"/>
        <v>28.580593715605403</v>
      </c>
      <c r="H11" s="104">
        <f>Enteric_19!E11</f>
        <v>0</v>
      </c>
      <c r="I11" s="104">
        <f>Enteric_19!G11</f>
        <v>0</v>
      </c>
      <c r="J11" s="105">
        <f t="shared" si="3"/>
        <v>0</v>
      </c>
      <c r="K11" s="105">
        <f>Enteric_19!C11</f>
        <v>0.31</v>
      </c>
      <c r="L11" s="106">
        <f>Enteric_19!E54</f>
        <v>4.9544080203898906</v>
      </c>
      <c r="M11" s="61">
        <f>((268-7.03*L11/K11)*K11/1000)/6.25</f>
        <v>7.7200818586654514E-3</v>
      </c>
      <c r="N11" s="104">
        <f t="shared" si="6"/>
        <v>7.7200818586654514E-3</v>
      </c>
      <c r="O11" s="113">
        <f t="shared" si="4"/>
        <v>2.8178298784128897</v>
      </c>
      <c r="P11" s="45">
        <f t="shared" si="5"/>
        <v>9.8592419263645856E-2</v>
      </c>
      <c r="Q11" s="31">
        <f>G11-O11</f>
        <v>25.762763837192512</v>
      </c>
      <c r="R11" s="45">
        <f>(Q11*1000/B11)/365</f>
        <v>0.83038723085229693</v>
      </c>
    </row>
    <row r="12" spans="1:18">
      <c r="A12" s="96" t="str">
        <f>Enteric_19!A12</f>
        <v>Asia</v>
      </c>
      <c r="B12" s="107"/>
      <c r="C12" s="107"/>
      <c r="D12" s="108"/>
      <c r="E12" s="108"/>
      <c r="F12" s="48"/>
      <c r="G12" s="116"/>
      <c r="H12" s="109"/>
      <c r="I12" s="109"/>
      <c r="J12" s="110"/>
      <c r="K12" s="110"/>
      <c r="L12" s="111"/>
      <c r="M12" s="112"/>
      <c r="N12" s="109"/>
      <c r="O12" s="114"/>
      <c r="P12" s="97">
        <f>SUMPRODUCT(P13:P16,D13:D16)</f>
        <v>7.9739975525168108E-2</v>
      </c>
      <c r="Q12" s="9">
        <f>SUMPRODUCT(Q13:Q16,D13:D16)</f>
        <v>48.435132775281375</v>
      </c>
      <c r="R12" s="97">
        <f>SUMPRODUCT(R13:R16,D13:D16)</f>
        <v>0.43747567074797056</v>
      </c>
    </row>
    <row r="13" spans="1:18">
      <c r="A13" s="47" t="str">
        <f>Enteric_19!A13</f>
        <v>Mature Males</v>
      </c>
      <c r="B13" s="31">
        <f>Enteric_19!B13</f>
        <v>490</v>
      </c>
      <c r="C13" s="31">
        <f>Enteric_19!L56</f>
        <v>190.73432102223347</v>
      </c>
      <c r="D13" s="30">
        <f>Enteric_19!N13</f>
        <v>0.2</v>
      </c>
      <c r="E13" s="30">
        <f>Enteric_19!L13</f>
        <v>0.1</v>
      </c>
      <c r="F13" s="45">
        <f t="shared" si="1"/>
        <v>0.16540645725505343</v>
      </c>
      <c r="G13" s="115">
        <f t="shared" si="2"/>
        <v>60.373356898094499</v>
      </c>
      <c r="H13" s="104">
        <f>Enteric_19!E13</f>
        <v>0</v>
      </c>
      <c r="I13" s="104">
        <f>Enteric_19!G13</f>
        <v>0</v>
      </c>
      <c r="J13" s="105">
        <f t="shared" si="3"/>
        <v>0</v>
      </c>
      <c r="K13" s="105">
        <f>Enteric_19!C13</f>
        <v>0</v>
      </c>
      <c r="L13" s="106">
        <f>Enteric_19!E56</f>
        <v>0</v>
      </c>
      <c r="M13" s="61"/>
      <c r="N13" s="104">
        <f t="shared" ref="N13:N16" si="7">J13+M13</f>
        <v>0</v>
      </c>
      <c r="O13" s="113">
        <f t="shared" si="4"/>
        <v>0</v>
      </c>
      <c r="P13" s="45">
        <f t="shared" ref="P13:P16" si="8">N13/F13</f>
        <v>0</v>
      </c>
      <c r="Q13" s="31">
        <f>G13-O13</f>
        <v>60.373356898094499</v>
      </c>
      <c r="R13" s="45">
        <f>(Q13*1000/B13)/365</f>
        <v>0.33756419847970087</v>
      </c>
    </row>
    <row r="14" spans="1:18">
      <c r="A14" s="47" t="str">
        <f>Enteric_19!A14</f>
        <v>Mature Females</v>
      </c>
      <c r="B14" s="31">
        <f>Enteric_19!B14</f>
        <v>420</v>
      </c>
      <c r="C14" s="31">
        <f>Enteric_19!L57</f>
        <v>215.10538421280452</v>
      </c>
      <c r="D14" s="30">
        <f>Enteric_19!N14</f>
        <v>0.4</v>
      </c>
      <c r="E14" s="30">
        <f>Enteric_19!L14</f>
        <v>0.1</v>
      </c>
      <c r="F14" s="45">
        <f t="shared" si="1"/>
        <v>0.18654125460189011</v>
      </c>
      <c r="G14" s="115">
        <f t="shared" si="2"/>
        <v>68.087557929689893</v>
      </c>
      <c r="H14" s="104">
        <f>Enteric_19!E14</f>
        <v>1.6</v>
      </c>
      <c r="I14" s="104">
        <f>Enteric_19!G14/100</f>
        <v>9.0999999999999998E-2</v>
      </c>
      <c r="J14" s="105">
        <f t="shared" si="3"/>
        <v>2.2821316614420065E-2</v>
      </c>
      <c r="K14" s="105">
        <f>Enteric_19!C14</f>
        <v>0</v>
      </c>
      <c r="L14" s="106">
        <f>Enteric_19!E57</f>
        <v>0</v>
      </c>
      <c r="M14" s="61"/>
      <c r="N14" s="104">
        <f t="shared" si="7"/>
        <v>2.2821316614420065E-2</v>
      </c>
      <c r="O14" s="113">
        <f t="shared" si="4"/>
        <v>8.3297805642633236</v>
      </c>
      <c r="P14" s="45">
        <f t="shared" si="8"/>
        <v>0.12233924695705799</v>
      </c>
      <c r="Q14" s="31">
        <f>G14-O14</f>
        <v>59.75777736542657</v>
      </c>
      <c r="R14" s="45">
        <f>(Q14*1000/B14)/365</f>
        <v>0.38980937616064293</v>
      </c>
    </row>
    <row r="15" spans="1:18">
      <c r="A15" s="47" t="str">
        <f>Enteric_19!A15</f>
        <v>Growing animals</v>
      </c>
      <c r="B15" s="31">
        <f>Enteric_19!B15</f>
        <v>225</v>
      </c>
      <c r="C15" s="31">
        <f>Enteric_19!L58</f>
        <v>120.93164176933165</v>
      </c>
      <c r="D15" s="30">
        <f>Enteric_19!N15</f>
        <v>0.25</v>
      </c>
      <c r="E15" s="30">
        <f>Enteric_19!L15</f>
        <v>0.1</v>
      </c>
      <c r="F15" s="45">
        <f t="shared" si="1"/>
        <v>0.10487296847204912</v>
      </c>
      <c r="G15" s="115">
        <f t="shared" si="2"/>
        <v>38.278633492297928</v>
      </c>
      <c r="H15" s="104">
        <f>Enteric_19!E15</f>
        <v>0</v>
      </c>
      <c r="I15" s="104">
        <f>Enteric_19!G15</f>
        <v>0</v>
      </c>
      <c r="J15" s="105">
        <f t="shared" si="3"/>
        <v>0</v>
      </c>
      <c r="K15" s="105">
        <f>Enteric_19!C15</f>
        <v>0.26</v>
      </c>
      <c r="L15" s="106">
        <f>Enteric_19!E58</f>
        <v>4.7865382596894994</v>
      </c>
      <c r="M15" s="61">
        <f t="shared" ref="M15:M16" si="9">((268-7.03*L15/K15)*K15/1000)/6.25</f>
        <v>5.7649017655012512E-3</v>
      </c>
      <c r="N15" s="104">
        <f t="shared" si="7"/>
        <v>5.7649017655012512E-3</v>
      </c>
      <c r="O15" s="113">
        <f t="shared" si="4"/>
        <v>2.1041891444079566</v>
      </c>
      <c r="P15" s="45">
        <f t="shared" si="8"/>
        <v>5.4970330767720378E-2</v>
      </c>
      <c r="Q15" s="31">
        <f>G15-O15</f>
        <v>36.174444347889974</v>
      </c>
      <c r="R15" s="45">
        <f>(Q15*1000/B15)/365</f>
        <v>0.44048029647354614</v>
      </c>
    </row>
    <row r="16" spans="1:18">
      <c r="A16" s="47" t="str">
        <f>Enteric_19!A16</f>
        <v xml:space="preserve">Calves </v>
      </c>
      <c r="B16" s="31">
        <f>Enteric_19!B16</f>
        <v>90</v>
      </c>
      <c r="C16" s="31">
        <f>Enteric_19!L59</f>
        <v>81.126687399198687</v>
      </c>
      <c r="D16" s="30">
        <f>Enteric_19!N16</f>
        <v>0.15</v>
      </c>
      <c r="E16" s="30">
        <f>Enteric_19!L16</f>
        <v>0.1</v>
      </c>
      <c r="F16" s="45">
        <f t="shared" si="1"/>
        <v>7.0353766850253602E-2</v>
      </c>
      <c r="G16" s="115">
        <f t="shared" si="2"/>
        <v>25.679124900342565</v>
      </c>
      <c r="H16" s="104">
        <f>Enteric_19!E16</f>
        <v>0</v>
      </c>
      <c r="I16" s="104">
        <f>Enteric_19!G16</f>
        <v>0</v>
      </c>
      <c r="J16" s="105">
        <f t="shared" si="3"/>
        <v>0</v>
      </c>
      <c r="K16" s="105">
        <f>Enteric_19!C16</f>
        <v>0.32</v>
      </c>
      <c r="L16" s="106">
        <f>Enteric_19!E59</f>
        <v>5.0846701914814885</v>
      </c>
      <c r="M16" s="61">
        <f t="shared" si="9"/>
        <v>8.0023629686216211E-3</v>
      </c>
      <c r="N16" s="104">
        <f t="shared" si="7"/>
        <v>8.0023629686216211E-3</v>
      </c>
      <c r="O16" s="113">
        <f t="shared" si="4"/>
        <v>2.9208624835468919</v>
      </c>
      <c r="P16" s="45">
        <f t="shared" si="8"/>
        <v>0.11374462700276546</v>
      </c>
      <c r="Q16" s="31">
        <f>G16-O16</f>
        <v>22.758262416795674</v>
      </c>
      <c r="R16" s="45">
        <f>(Q16*1000/B16)/365</f>
        <v>0.69279337646257766</v>
      </c>
    </row>
    <row r="17" spans="1:18">
      <c r="A17" s="96" t="str">
        <f>Enteric_19!A17</f>
        <v>Latin America</v>
      </c>
      <c r="B17" s="107"/>
      <c r="C17" s="107"/>
      <c r="D17" s="108"/>
      <c r="E17" s="108"/>
      <c r="F17" s="48"/>
      <c r="G17" s="116"/>
      <c r="H17" s="109"/>
      <c r="I17" s="109"/>
      <c r="J17" s="110"/>
      <c r="K17" s="110"/>
      <c r="L17" s="111"/>
      <c r="M17" s="112"/>
      <c r="N17" s="109"/>
      <c r="O17" s="114"/>
      <c r="P17" s="97">
        <f>SUMPRODUCT(P18:P21,D18:D21)</f>
        <v>0.15359062885377139</v>
      </c>
      <c r="Q17" s="9">
        <f>SUMPRODUCT(Q18:Q21,D18:D21)</f>
        <v>42.583659503099533</v>
      </c>
      <c r="R17" s="97">
        <f>SUMPRODUCT(R18:R21,D18:D21)</f>
        <v>0.41296953008772314</v>
      </c>
    </row>
    <row r="18" spans="1:18">
      <c r="A18" s="47" t="str">
        <f>Enteric_19!A18</f>
        <v>Mature Males</v>
      </c>
      <c r="B18" s="31">
        <f>Enteric_19!B18</f>
        <v>650</v>
      </c>
      <c r="C18" s="31">
        <f>Enteric_19!L61</f>
        <v>187.75636111293008</v>
      </c>
      <c r="D18" s="30">
        <f>Enteric_19!N18</f>
        <v>0.04</v>
      </c>
      <c r="E18" s="30">
        <f>Enteric_19!L18</f>
        <v>0.11</v>
      </c>
      <c r="F18" s="45">
        <f t="shared" si="1"/>
        <v>0.17910633905623685</v>
      </c>
      <c r="G18" s="115">
        <f t="shared" si="2"/>
        <v>65.373813755526456</v>
      </c>
      <c r="H18" s="104">
        <f>Enteric_19!E18</f>
        <v>0</v>
      </c>
      <c r="I18" s="104">
        <f>Enteric_19!G18</f>
        <v>0</v>
      </c>
      <c r="J18" s="105">
        <f t="shared" si="3"/>
        <v>0</v>
      </c>
      <c r="K18" s="105">
        <f>Enteric_19!C18</f>
        <v>0</v>
      </c>
      <c r="L18" s="106">
        <f>Enteric_19!E61</f>
        <v>0</v>
      </c>
      <c r="M18" s="61"/>
      <c r="N18" s="104">
        <f t="shared" ref="N18:N21" si="10">J18+M18</f>
        <v>0</v>
      </c>
      <c r="O18" s="113">
        <f t="shared" si="4"/>
        <v>0</v>
      </c>
      <c r="P18" s="45">
        <f t="shared" ref="P18:P21" si="11">N18/F18</f>
        <v>0</v>
      </c>
      <c r="Q18" s="31">
        <f>G18-O18</f>
        <v>65.373813755526456</v>
      </c>
      <c r="R18" s="45">
        <f>(Q18*1000/B18)/365</f>
        <v>0.27554821393267209</v>
      </c>
    </row>
    <row r="19" spans="1:18">
      <c r="A19" s="47" t="str">
        <f>Enteric_19!A19</f>
        <v>Mature Females</v>
      </c>
      <c r="B19" s="31">
        <f>Enteric_19!B19</f>
        <v>500</v>
      </c>
      <c r="C19" s="31">
        <f>Enteric_19!L62</f>
        <v>230.40192064936147</v>
      </c>
      <c r="D19" s="30">
        <f>Enteric_19!N19</f>
        <v>0.4</v>
      </c>
      <c r="E19" s="30">
        <f>Enteric_19!L19</f>
        <v>0.11</v>
      </c>
      <c r="F19" s="45">
        <f t="shared" si="1"/>
        <v>0.2197871980178191</v>
      </c>
      <c r="G19" s="115">
        <f t="shared" si="2"/>
        <v>80.222327276503975</v>
      </c>
      <c r="H19" s="104">
        <f>Enteric_19!E19</f>
        <v>4.2</v>
      </c>
      <c r="I19" s="104">
        <f>Enteric_19!G19/100</f>
        <v>7.0999999999999994E-2</v>
      </c>
      <c r="J19" s="105">
        <f t="shared" si="3"/>
        <v>4.6739811912225704E-2</v>
      </c>
      <c r="K19" s="105">
        <f>Enteric_19!C19</f>
        <v>0</v>
      </c>
      <c r="L19" s="106">
        <f>Enteric_19!E62</f>
        <v>0</v>
      </c>
      <c r="M19" s="61"/>
      <c r="N19" s="104">
        <f t="shared" si="10"/>
        <v>4.6739811912225704E-2</v>
      </c>
      <c r="O19" s="113">
        <f t="shared" si="4"/>
        <v>17.060031347962383</v>
      </c>
      <c r="P19" s="45">
        <f t="shared" si="11"/>
        <v>0.21265939205629394</v>
      </c>
      <c r="Q19" s="31">
        <f>G19-O19</f>
        <v>63.162295928541596</v>
      </c>
      <c r="R19" s="45">
        <f>(Q19*1000/B19)/365</f>
        <v>0.34609477221118684</v>
      </c>
    </row>
    <row r="20" spans="1:18">
      <c r="A20" s="47" t="str">
        <f>Enteric_19!A20</f>
        <v>Growing animals</v>
      </c>
      <c r="B20" s="31">
        <f>Enteric_19!B20</f>
        <v>240</v>
      </c>
      <c r="C20" s="31">
        <f>Enteric_19!L63</f>
        <v>117.05933608461136</v>
      </c>
      <c r="D20" s="30">
        <f>Enteric_19!N20</f>
        <v>0.26</v>
      </c>
      <c r="E20" s="30">
        <f>Enteric_19!L20</f>
        <v>0.11</v>
      </c>
      <c r="F20" s="45">
        <f t="shared" si="1"/>
        <v>0.11166635854141789</v>
      </c>
      <c r="G20" s="115">
        <f t="shared" si="2"/>
        <v>40.758220867617531</v>
      </c>
      <c r="H20" s="104">
        <f>Enteric_19!E20</f>
        <v>0</v>
      </c>
      <c r="I20" s="104">
        <f>Enteric_19!G20</f>
        <v>0</v>
      </c>
      <c r="J20" s="105">
        <f t="shared" si="3"/>
        <v>0</v>
      </c>
      <c r="K20" s="105">
        <f>Enteric_19!C20</f>
        <v>0.4</v>
      </c>
      <c r="L20" s="106">
        <f>Enteric_19!E63</f>
        <v>6.6194150173021189</v>
      </c>
      <c r="M20" s="61">
        <f t="shared" ref="M20:M21" si="12">((268-7.03*L20/K20)*K20/1000)/6.25</f>
        <v>9.7064819885385768E-3</v>
      </c>
      <c r="N20" s="104">
        <f t="shared" si="10"/>
        <v>9.7064819885385768E-3</v>
      </c>
      <c r="O20" s="113">
        <f t="shared" si="4"/>
        <v>3.5428659258165807</v>
      </c>
      <c r="P20" s="45">
        <f t="shared" si="11"/>
        <v>8.6923959152284611E-2</v>
      </c>
      <c r="Q20" s="31">
        <f>G20-O20</f>
        <v>37.215354941800953</v>
      </c>
      <c r="R20" s="45">
        <f>(Q20*1000/B20)/365</f>
        <v>0.42483281897033043</v>
      </c>
    </row>
    <row r="21" spans="1:18">
      <c r="A21" s="47" t="str">
        <f>Enteric_19!A21</f>
        <v xml:space="preserve">Calves </v>
      </c>
      <c r="B21" s="31">
        <f>Enteric_19!B21</f>
        <v>90</v>
      </c>
      <c r="C21" s="31">
        <f>Enteric_19!L64</f>
        <v>56.834152142329494</v>
      </c>
      <c r="D21" s="30">
        <f>Enteric_19!N21</f>
        <v>0.3</v>
      </c>
      <c r="E21" s="30">
        <f>Enteric_19!L21</f>
        <v>0.11</v>
      </c>
      <c r="F21" s="45">
        <f t="shared" si="1"/>
        <v>5.421577656937665E-2</v>
      </c>
      <c r="G21" s="115">
        <f t="shared" si="2"/>
        <v>19.788758447822477</v>
      </c>
      <c r="H21" s="104">
        <f>Enteric_19!E21</f>
        <v>0</v>
      </c>
      <c r="I21" s="104">
        <f>Enteric_19!G21</f>
        <v>0</v>
      </c>
      <c r="J21" s="105">
        <f t="shared" si="3"/>
        <v>0</v>
      </c>
      <c r="K21" s="105">
        <f>Enteric_19!C21</f>
        <v>0.28000000000000003</v>
      </c>
      <c r="L21" s="106">
        <f>Enteric_19!E64</f>
        <v>3.2953159181365814</v>
      </c>
      <c r="M21" s="61">
        <f t="shared" si="12"/>
        <v>8.2998286552799731E-3</v>
      </c>
      <c r="N21" s="104">
        <f t="shared" si="10"/>
        <v>8.2998286552799731E-3</v>
      </c>
      <c r="O21" s="113">
        <f t="shared" si="4"/>
        <v>3.0294374591771902</v>
      </c>
      <c r="P21" s="45">
        <f t="shared" si="11"/>
        <v>0.15308880883886603</v>
      </c>
      <c r="Q21" s="31">
        <f>G21-O21</f>
        <v>16.759320988645285</v>
      </c>
      <c r="R21" s="45">
        <f>(Q21*1000/B21)/365</f>
        <v>0.51017719904551861</v>
      </c>
    </row>
    <row r="22" spans="1:18">
      <c r="A22" s="96" t="str">
        <f>Enteric_19!A22</f>
        <v>Africa</v>
      </c>
      <c r="B22" s="107"/>
      <c r="C22" s="107"/>
      <c r="D22" s="108"/>
      <c r="E22" s="108"/>
      <c r="F22" s="48"/>
      <c r="G22" s="116"/>
      <c r="H22" s="109"/>
      <c r="I22" s="109"/>
      <c r="J22" s="110"/>
      <c r="K22" s="110"/>
      <c r="L22" s="111"/>
      <c r="M22" s="112"/>
      <c r="N22" s="109"/>
      <c r="O22" s="114"/>
      <c r="P22" s="97">
        <f>SUMPRODUCT(P23:P26,D23:D26)</f>
        <v>0.14920085667297769</v>
      </c>
      <c r="Q22" s="9">
        <f>SUMPRODUCT(Q23:Q26,D23:D26)</f>
        <v>46.588702933586546</v>
      </c>
      <c r="R22" s="97">
        <f>SUMPRODUCT(R23:R26,D23:D26)</f>
        <v>0.41449063849052653</v>
      </c>
    </row>
    <row r="23" spans="1:18">
      <c r="A23" s="47" t="str">
        <f>Enteric_19!A23</f>
        <v>Mature Males</v>
      </c>
      <c r="B23" s="31">
        <f>Enteric_19!B23</f>
        <v>590</v>
      </c>
      <c r="C23" s="31">
        <f>Enteric_19!L66</f>
        <v>205.54138070003614</v>
      </c>
      <c r="D23" s="30">
        <f>Enteric_19!N23</f>
        <v>0.06</v>
      </c>
      <c r="E23" s="30">
        <f>Enteric_19!L23</f>
        <v>0.1</v>
      </c>
      <c r="F23" s="45">
        <f t="shared" si="1"/>
        <v>0.17824726781574951</v>
      </c>
      <c r="G23" s="115">
        <f t="shared" si="2"/>
        <v>65.060252752748568</v>
      </c>
      <c r="H23" s="104">
        <f>Enteric_19!E23</f>
        <v>0</v>
      </c>
      <c r="I23" s="104">
        <f>Enteric_19!G23</f>
        <v>0</v>
      </c>
      <c r="J23" s="105">
        <f t="shared" si="3"/>
        <v>0</v>
      </c>
      <c r="K23" s="105">
        <f>Enteric_19!C23</f>
        <v>0</v>
      </c>
      <c r="L23" s="106">
        <f>Enteric_19!E66</f>
        <v>0</v>
      </c>
      <c r="M23" s="61"/>
      <c r="N23" s="104">
        <f t="shared" ref="N23:N26" si="13">J23+M23</f>
        <v>0</v>
      </c>
      <c r="O23" s="113">
        <f t="shared" si="4"/>
        <v>0</v>
      </c>
      <c r="P23" s="45">
        <f t="shared" ref="P23:P26" si="14">N23/F23</f>
        <v>0</v>
      </c>
      <c r="Q23" s="31">
        <f>G23-O23</f>
        <v>65.060252752748568</v>
      </c>
      <c r="R23" s="45">
        <f>(Q23*1000/B23)/365</f>
        <v>0.30211401324703302</v>
      </c>
    </row>
    <row r="24" spans="1:18">
      <c r="A24" s="47" t="str">
        <f>Enteric_19!A24</f>
        <v>Mature Females</v>
      </c>
      <c r="B24" s="31">
        <f>Enteric_19!B24</f>
        <v>440</v>
      </c>
      <c r="C24" s="31">
        <f>Enteric_19!L67</f>
        <v>233.48991195949108</v>
      </c>
      <c r="D24" s="30">
        <f>Enteric_19!N24</f>
        <v>0.42</v>
      </c>
      <c r="E24" s="30">
        <f>Enteric_19!L24</f>
        <v>0.1</v>
      </c>
      <c r="F24" s="45">
        <f t="shared" si="1"/>
        <v>0.20248447649603563</v>
      </c>
      <c r="G24" s="115">
        <f t="shared" si="2"/>
        <v>73.906833921053007</v>
      </c>
      <c r="H24" s="104">
        <f>Enteric_19!E24</f>
        <v>4.3</v>
      </c>
      <c r="I24" s="104">
        <f>Enteric_19!G24/100</f>
        <v>7.2000000000000008E-2</v>
      </c>
      <c r="J24" s="105">
        <f t="shared" si="3"/>
        <v>4.8526645768025088E-2</v>
      </c>
      <c r="K24" s="105">
        <f>Enteric_19!C24</f>
        <v>0</v>
      </c>
      <c r="L24" s="106">
        <f>Enteric_19!E67</f>
        <v>0</v>
      </c>
      <c r="M24" s="106"/>
      <c r="N24" s="104">
        <f t="shared" si="13"/>
        <v>4.8526645768025088E-2</v>
      </c>
      <c r="O24" s="113">
        <f t="shared" si="4"/>
        <v>17.712225705329157</v>
      </c>
      <c r="P24" s="45">
        <f t="shared" si="14"/>
        <v>0.23965612874513456</v>
      </c>
      <c r="Q24" s="31">
        <f>G24-O24</f>
        <v>56.194608215723846</v>
      </c>
      <c r="R24" s="45">
        <f>(Q24*1000/B24)/365</f>
        <v>0.34990416074547853</v>
      </c>
    </row>
    <row r="25" spans="1:18">
      <c r="A25" s="47" t="str">
        <f>Enteric_19!A25</f>
        <v>Growing animals</v>
      </c>
      <c r="B25" s="31">
        <f>Enteric_19!B25</f>
        <v>300</v>
      </c>
      <c r="C25" s="31">
        <f>Enteric_19!L68</f>
        <v>147.54608559421953</v>
      </c>
      <c r="D25" s="30">
        <f>Enteric_19!N25</f>
        <v>0.32</v>
      </c>
      <c r="E25" s="30">
        <f>Enteric_19!L25</f>
        <v>0.1</v>
      </c>
      <c r="F25" s="45">
        <f t="shared" si="1"/>
        <v>0.1279532449597568</v>
      </c>
      <c r="G25" s="115">
        <f t="shared" si="2"/>
        <v>46.702934410311229</v>
      </c>
      <c r="H25" s="104">
        <f>Enteric_19!E25</f>
        <v>0</v>
      </c>
      <c r="I25" s="104">
        <f>Enteric_19!G25</f>
        <v>0</v>
      </c>
      <c r="J25" s="105">
        <f t="shared" si="3"/>
        <v>0</v>
      </c>
      <c r="K25" s="105">
        <f>Enteric_19!C25</f>
        <v>0.4</v>
      </c>
      <c r="L25" s="106">
        <f>Enteric_19!E68</f>
        <v>7.8253202614038653</v>
      </c>
      <c r="M25" s="61">
        <f t="shared" ref="M25:M26" si="15">((268-7.03*L25/K25)*K25/1000)/6.25</f>
        <v>8.3500797699729325E-3</v>
      </c>
      <c r="N25" s="104">
        <f t="shared" si="13"/>
        <v>8.3500797699729325E-3</v>
      </c>
      <c r="O25" s="113">
        <f t="shared" si="4"/>
        <v>3.0477791160401204</v>
      </c>
      <c r="P25" s="45">
        <f t="shared" si="14"/>
        <v>6.5258835542616814E-2</v>
      </c>
      <c r="Q25" s="31">
        <f>G25-O25</f>
        <v>43.655155294271111</v>
      </c>
      <c r="R25" s="45">
        <f>(Q25*1000/B25)/365</f>
        <v>0.39867721729927963</v>
      </c>
    </row>
    <row r="26" spans="1:18">
      <c r="A26" s="47" t="str">
        <f>Enteric_19!A26</f>
        <v xml:space="preserve">Calves </v>
      </c>
      <c r="B26" s="31">
        <f>Enteric_19!B26</f>
        <v>115</v>
      </c>
      <c r="C26" s="31">
        <f>Enteric_19!L69</f>
        <v>93.743052463180121</v>
      </c>
      <c r="D26" s="30">
        <f>Enteric_19!N26</f>
        <v>0.2</v>
      </c>
      <c r="E26" s="30">
        <f>Enteric_19!L26</f>
        <v>0.1</v>
      </c>
      <c r="F26" s="45">
        <f t="shared" si="1"/>
        <v>8.1294788043950253E-2</v>
      </c>
      <c r="G26" s="115">
        <f t="shared" si="2"/>
        <v>29.672597636041843</v>
      </c>
      <c r="H26" s="104">
        <f>Enteric_19!E26</f>
        <v>0</v>
      </c>
      <c r="I26" s="104">
        <f>Enteric_19!G26</f>
        <v>0</v>
      </c>
      <c r="J26" s="105">
        <f t="shared" si="3"/>
        <v>0</v>
      </c>
      <c r="K26" s="105">
        <f>Enteric_19!C26</f>
        <v>0.45</v>
      </c>
      <c r="L26" s="106">
        <f>Enteric_19!E69</f>
        <v>7.1585462553159003</v>
      </c>
      <c r="M26" s="61">
        <f t="shared" si="15"/>
        <v>1.1244067172020675E-2</v>
      </c>
      <c r="N26" s="104">
        <f t="shared" si="13"/>
        <v>1.1244067172020675E-2</v>
      </c>
      <c r="O26" s="113">
        <f t="shared" si="4"/>
        <v>4.1040845177875465</v>
      </c>
      <c r="P26" s="45">
        <f t="shared" si="14"/>
        <v>0.13831227613191902</v>
      </c>
      <c r="Q26" s="31">
        <f>G26-O26</f>
        <v>25.568513118254295</v>
      </c>
      <c r="R26" s="45">
        <f>(Q26*1000/B26)/365</f>
        <v>0.60913670323417024</v>
      </c>
    </row>
    <row r="27" spans="1:18">
      <c r="A27" s="96" t="str">
        <f>Enteric_19!A27</f>
        <v>Middle East</v>
      </c>
      <c r="B27" s="107"/>
      <c r="C27" s="107"/>
      <c r="D27" s="108"/>
      <c r="E27" s="108"/>
      <c r="F27" s="48"/>
      <c r="G27" s="116"/>
      <c r="H27" s="109"/>
      <c r="I27" s="109"/>
      <c r="J27" s="110"/>
      <c r="K27" s="110"/>
      <c r="L27" s="111"/>
      <c r="M27" s="111"/>
      <c r="N27" s="109"/>
      <c r="O27" s="114"/>
      <c r="P27" s="97">
        <f>SUMPRODUCT(P28:P31,D28:D31)</f>
        <v>0.13610185540790437</v>
      </c>
      <c r="Q27" s="9">
        <f>SUMPRODUCT(Q28:Q31,D28:D31)</f>
        <v>46.965317607757441</v>
      </c>
      <c r="R27" s="97">
        <f>SUMPRODUCT(R28:R31,D28:D31)</f>
        <v>0.39173828356580742</v>
      </c>
    </row>
    <row r="28" spans="1:18">
      <c r="A28" s="47" t="str">
        <f>Enteric_19!A28</f>
        <v>Mature Males</v>
      </c>
      <c r="B28" s="31">
        <f>Enteric_19!B28</f>
        <v>650</v>
      </c>
      <c r="C28" s="31">
        <f>Enteric_19!L71</f>
        <v>209.74150767059797</v>
      </c>
      <c r="D28" s="30">
        <f>Enteric_19!N28</f>
        <v>0.05</v>
      </c>
      <c r="E28" s="30">
        <f>Enteric_19!L28</f>
        <v>0.11</v>
      </c>
      <c r="F28" s="45">
        <f t="shared" si="1"/>
        <v>0.20007861978333469</v>
      </c>
      <c r="G28" s="115">
        <f t="shared" si="2"/>
        <v>73.028696220917155</v>
      </c>
      <c r="H28" s="104">
        <f>Enteric_19!E28</f>
        <v>0</v>
      </c>
      <c r="I28" s="104">
        <f>Enteric_19!G28</f>
        <v>0</v>
      </c>
      <c r="J28" s="105">
        <f t="shared" si="3"/>
        <v>0</v>
      </c>
      <c r="K28" s="105">
        <f>Enteric_19!C28</f>
        <v>0</v>
      </c>
      <c r="L28" s="106">
        <f>Enteric_19!E71</f>
        <v>0</v>
      </c>
      <c r="M28" s="106"/>
      <c r="N28" s="104">
        <f t="shared" ref="N28:N31" si="16">J28+M28</f>
        <v>0</v>
      </c>
      <c r="O28" s="113">
        <f t="shared" si="4"/>
        <v>0</v>
      </c>
      <c r="P28" s="45">
        <f t="shared" ref="P28:P31" si="17">N28/F28</f>
        <v>0</v>
      </c>
      <c r="Q28" s="31">
        <f>G28-O28</f>
        <v>73.028696220917155</v>
      </c>
      <c r="R28" s="45">
        <f>(Q28*1000/B28)/365</f>
        <v>0.30781326120513031</v>
      </c>
    </row>
    <row r="29" spans="1:18">
      <c r="A29" s="47" t="str">
        <f>Enteric_19!A29</f>
        <v>Mature Females</v>
      </c>
      <c r="B29" s="31">
        <f>Enteric_19!B29</f>
        <v>520</v>
      </c>
      <c r="C29" s="31">
        <f>Enteric_19!L72</f>
        <v>200.70465025329077</v>
      </c>
      <c r="D29" s="30">
        <f>Enteric_19!N29</f>
        <v>0.52</v>
      </c>
      <c r="E29" s="30">
        <f>Enteric_19!L29</f>
        <v>0.11</v>
      </c>
      <c r="F29" s="45">
        <f t="shared" si="1"/>
        <v>0.19145809455056464</v>
      </c>
      <c r="G29" s="115">
        <f t="shared" si="2"/>
        <v>69.8822045109561</v>
      </c>
      <c r="H29" s="104">
        <f>Enteric_19!E29</f>
        <v>3</v>
      </c>
      <c r="I29" s="104">
        <f>Enteric_19!G29/100</f>
        <v>7.0000000000000007E-2</v>
      </c>
      <c r="J29" s="105">
        <f t="shared" si="3"/>
        <v>3.2915360501567403E-2</v>
      </c>
      <c r="K29" s="105">
        <f>Enteric_19!C29</f>
        <v>0</v>
      </c>
      <c r="L29" s="106">
        <f>Enteric_19!E72</f>
        <v>0</v>
      </c>
      <c r="M29" s="106"/>
      <c r="N29" s="104">
        <f t="shared" si="16"/>
        <v>3.2915360501567403E-2</v>
      </c>
      <c r="O29" s="113">
        <f t="shared" si="4"/>
        <v>12.014106583072103</v>
      </c>
      <c r="P29" s="45">
        <f t="shared" si="17"/>
        <v>0.17191939875320528</v>
      </c>
      <c r="Q29" s="31">
        <f>G29-O29</f>
        <v>57.868097927883994</v>
      </c>
      <c r="R29" s="45">
        <f>(Q29*1000/B29)/365</f>
        <v>0.30488987317114857</v>
      </c>
    </row>
    <row r="30" spans="1:18">
      <c r="A30" s="47" t="str">
        <f>Enteric_19!A30</f>
        <v>Growing animals</v>
      </c>
      <c r="B30" s="31">
        <f>Enteric_19!B30</f>
        <v>255</v>
      </c>
      <c r="C30" s="31">
        <f>Enteric_19!L73</f>
        <v>117.77976364151277</v>
      </c>
      <c r="D30" s="30">
        <f>Enteric_19!N30</f>
        <v>0.22</v>
      </c>
      <c r="E30" s="30">
        <f>Enteric_19!L30</f>
        <v>0.11</v>
      </c>
      <c r="F30" s="45">
        <f t="shared" si="1"/>
        <v>0.11235359566886857</v>
      </c>
      <c r="G30" s="115">
        <f t="shared" si="2"/>
        <v>41.009062419137031</v>
      </c>
      <c r="H30" s="104">
        <f>Enteric_19!E30</f>
        <v>0</v>
      </c>
      <c r="I30" s="104">
        <f>Enteric_19!G30</f>
        <v>0</v>
      </c>
      <c r="J30" s="105">
        <f t="shared" si="3"/>
        <v>0</v>
      </c>
      <c r="K30" s="105">
        <f>Enteric_19!C30</f>
        <v>0.39</v>
      </c>
      <c r="L30" s="106">
        <f>Enteric_19!E73</f>
        <v>6.7375868795878491</v>
      </c>
      <c r="M30" s="61">
        <f t="shared" ref="M30:M31" si="18">((268-7.03*L30/K30)*K30/1000)/6.25</f>
        <v>9.1447622778395871E-3</v>
      </c>
      <c r="N30" s="104">
        <f t="shared" si="16"/>
        <v>9.1447622778395871E-3</v>
      </c>
      <c r="O30" s="113">
        <f t="shared" si="4"/>
        <v>3.3378382314114492</v>
      </c>
      <c r="P30" s="45">
        <f t="shared" si="17"/>
        <v>8.1392697967506686E-2</v>
      </c>
      <c r="Q30" s="31">
        <f>G30-O30</f>
        <v>37.671224187725585</v>
      </c>
      <c r="R30" s="45">
        <f>(Q30*1000/B30)/365</f>
        <v>0.40474052310207459</v>
      </c>
    </row>
    <row r="31" spans="1:18">
      <c r="A31" s="47" t="str">
        <f>Enteric_19!A31</f>
        <v xml:space="preserve">Calves </v>
      </c>
      <c r="B31" s="31">
        <f>Enteric_19!B31</f>
        <v>105</v>
      </c>
      <c r="C31" s="31">
        <f>Enteric_19!L74</f>
        <v>78.216095592894987</v>
      </c>
      <c r="D31" s="30">
        <f>Enteric_19!N31</f>
        <v>0.21</v>
      </c>
      <c r="E31" s="30">
        <f>Enteric_19!L31</f>
        <v>0.11</v>
      </c>
      <c r="F31" s="45">
        <f t="shared" si="1"/>
        <v>7.4612644034414741E-2</v>
      </c>
      <c r="G31" s="115">
        <f t="shared" si="2"/>
        <v>27.233615072561381</v>
      </c>
      <c r="H31" s="104">
        <f>Enteric_19!E31</f>
        <v>0</v>
      </c>
      <c r="I31" s="104">
        <f>Enteric_19!G31</f>
        <v>0</v>
      </c>
      <c r="J31" s="105">
        <f t="shared" si="3"/>
        <v>0</v>
      </c>
      <c r="K31" s="105">
        <f>Enteric_19!C31</f>
        <v>0.41</v>
      </c>
      <c r="L31" s="106">
        <f>Enteric_19!E74</f>
        <v>6.5337319102363862</v>
      </c>
      <c r="M31" s="61">
        <f t="shared" si="18"/>
        <v>1.0231658347366111E-2</v>
      </c>
      <c r="N31" s="104">
        <f t="shared" si="16"/>
        <v>1.0231658347366111E-2</v>
      </c>
      <c r="O31" s="113">
        <f t="shared" si="4"/>
        <v>3.7345552967886304</v>
      </c>
      <c r="P31" s="45">
        <f t="shared" si="17"/>
        <v>0.13713035477802937</v>
      </c>
      <c r="Q31" s="31">
        <f>G31-O31</f>
        <v>23.49905977577275</v>
      </c>
      <c r="R31" s="45">
        <f>(Q31*1000/B31)/365</f>
        <v>0.61315224463855833</v>
      </c>
    </row>
    <row r="32" spans="1:18">
      <c r="A32" s="96" t="str">
        <f>Enteric_19!A32</f>
        <v>Western Europe</v>
      </c>
      <c r="B32" s="107"/>
      <c r="C32" s="107"/>
      <c r="D32" s="108"/>
      <c r="E32" s="108"/>
      <c r="F32" s="48"/>
      <c r="G32" s="116"/>
      <c r="H32" s="109"/>
      <c r="I32" s="109"/>
      <c r="J32" s="110"/>
      <c r="K32" s="110"/>
      <c r="L32" s="111"/>
      <c r="M32" s="111"/>
      <c r="N32" s="109"/>
      <c r="O32" s="114"/>
      <c r="P32" s="97">
        <f>SUMPRODUCT(P33:P36,D33:D36)</f>
        <v>0.119296044988547</v>
      </c>
      <c r="Q32" s="9">
        <f>SUMPRODUCT(Q33:Q36,D33:D36)</f>
        <v>68.889048618461743</v>
      </c>
      <c r="R32" s="97">
        <f>SUMPRODUCT(R33:R36,D33:D36)</f>
        <v>0.39674303823248175</v>
      </c>
    </row>
    <row r="33" spans="1:46">
      <c r="A33" s="47" t="str">
        <f>Enteric_19!A33</f>
        <v>Mature Males</v>
      </c>
      <c r="B33" s="31">
        <f>Enteric_19!B33</f>
        <v>650</v>
      </c>
      <c r="C33" s="31">
        <f>Enteric_19!L76</f>
        <v>142.61288699860759</v>
      </c>
      <c r="D33" s="30">
        <f>Enteric_19!N33</f>
        <v>0.03</v>
      </c>
      <c r="E33" s="30">
        <f>Enteric_19!L33</f>
        <v>0.14000000000000001</v>
      </c>
      <c r="F33" s="45">
        <f t="shared" si="1"/>
        <v>0.17314518529912254</v>
      </c>
      <c r="G33" s="115">
        <f t="shared" si="2"/>
        <v>63.197992634179727</v>
      </c>
      <c r="H33" s="104">
        <f>Enteric_19!E33</f>
        <v>0</v>
      </c>
      <c r="I33" s="104">
        <f>Enteric_19!G33</f>
        <v>0</v>
      </c>
      <c r="J33" s="105">
        <f t="shared" si="3"/>
        <v>0</v>
      </c>
      <c r="K33" s="105">
        <f>Enteric_19!C33</f>
        <v>0</v>
      </c>
      <c r="L33" s="106">
        <f>Enteric_19!E76</f>
        <v>0</v>
      </c>
      <c r="M33" s="106"/>
      <c r="N33" s="104">
        <f t="shared" ref="N33:N36" si="19">J33+M33</f>
        <v>0</v>
      </c>
      <c r="O33" s="113">
        <f t="shared" si="4"/>
        <v>0</v>
      </c>
      <c r="P33" s="45">
        <f t="shared" ref="P33:P36" si="20">N33/F33</f>
        <v>0</v>
      </c>
      <c r="Q33" s="31">
        <f>G33-O33</f>
        <v>63.197992634179727</v>
      </c>
      <c r="R33" s="45">
        <f>(Q33*1000/B33)/365</f>
        <v>0.26637720815249621</v>
      </c>
    </row>
    <row r="34" spans="1:46">
      <c r="A34" s="47" t="str">
        <f>Enteric_19!A34</f>
        <v>Mature Females</v>
      </c>
      <c r="B34" s="31">
        <f>Enteric_19!B34</f>
        <v>615</v>
      </c>
      <c r="C34" s="31">
        <f>Enteric_19!L77</f>
        <v>197.02418424537942</v>
      </c>
      <c r="D34" s="30">
        <f>Enteric_19!N34</f>
        <v>0.59</v>
      </c>
      <c r="E34" s="30">
        <f>Enteric_19!L34</f>
        <v>0.15</v>
      </c>
      <c r="F34" s="45">
        <f t="shared" si="1"/>
        <v>0.25629162178260739</v>
      </c>
      <c r="G34" s="115">
        <f t="shared" si="2"/>
        <v>93.546441950651698</v>
      </c>
      <c r="H34" s="104">
        <f>Enteric_19!E34</f>
        <v>3</v>
      </c>
      <c r="I34" s="104">
        <f>Enteric_19!G34/100</f>
        <v>0.08</v>
      </c>
      <c r="J34" s="105">
        <f t="shared" si="3"/>
        <v>3.7617554858934171E-2</v>
      </c>
      <c r="K34" s="105">
        <f>Enteric_19!C34</f>
        <v>0</v>
      </c>
      <c r="L34" s="106">
        <f>Enteric_19!E77</f>
        <v>0</v>
      </c>
      <c r="M34" s="106"/>
      <c r="N34" s="104">
        <f t="shared" si="19"/>
        <v>3.7617554858934171E-2</v>
      </c>
      <c r="O34" s="113">
        <f t="shared" si="4"/>
        <v>13.730407523510973</v>
      </c>
      <c r="P34" s="45">
        <f t="shared" si="20"/>
        <v>0.14677637371557262</v>
      </c>
      <c r="Q34" s="31">
        <f>G34-O34</f>
        <v>79.816034427140721</v>
      </c>
      <c r="R34" s="45">
        <f>(Q34*1000/B34)/365</f>
        <v>0.35556758849377756</v>
      </c>
    </row>
    <row r="35" spans="1:46">
      <c r="A35" s="47" t="str">
        <f>Enteric_19!A35</f>
        <v>Growing animals</v>
      </c>
      <c r="B35" s="31">
        <f>Enteric_19!B35</f>
        <v>420</v>
      </c>
      <c r="C35" s="31">
        <f>Enteric_19!L78</f>
        <v>142.298311654228</v>
      </c>
      <c r="D35" s="30">
        <f>Enteric_19!N35</f>
        <v>0.25</v>
      </c>
      <c r="E35" s="30">
        <f>Enteric_19!L35</f>
        <v>0.14000000000000001</v>
      </c>
      <c r="F35" s="45">
        <f t="shared" si="1"/>
        <v>0.17276326184578364</v>
      </c>
      <c r="G35" s="115">
        <f t="shared" si="2"/>
        <v>63.058590573711029</v>
      </c>
      <c r="H35" s="104">
        <f>Enteric_19!E35</f>
        <v>0</v>
      </c>
      <c r="I35" s="104">
        <f>Enteric_19!G35</f>
        <v>0</v>
      </c>
      <c r="J35" s="105">
        <f t="shared" si="3"/>
        <v>0</v>
      </c>
      <c r="K35" s="105">
        <f>Enteric_19!C35</f>
        <v>0.53</v>
      </c>
      <c r="L35" s="106">
        <f>Enteric_19!E78</f>
        <v>10.597304270872741</v>
      </c>
      <c r="M35" s="61">
        <f t="shared" ref="M35:M36" si="21">((268-7.03*L35/K35)*K35/1000)/6.25</f>
        <v>1.0806552156122341E-2</v>
      </c>
      <c r="N35" s="104">
        <f t="shared" si="19"/>
        <v>1.0806552156122341E-2</v>
      </c>
      <c r="O35" s="113">
        <f t="shared" si="4"/>
        <v>3.9443915369846545</v>
      </c>
      <c r="P35" s="45">
        <f t="shared" si="20"/>
        <v>6.2551216275186811E-2</v>
      </c>
      <c r="Q35" s="31">
        <f>G35-O35</f>
        <v>59.114199036726376</v>
      </c>
      <c r="R35" s="45">
        <f>(Q35*1000/B35)/365</f>
        <v>0.3856112135468126</v>
      </c>
    </row>
    <row r="36" spans="1:46">
      <c r="A36" s="47" t="str">
        <f>Enteric_19!A36</f>
        <v xml:space="preserve">Calves </v>
      </c>
      <c r="B36" s="31">
        <f>Enteric_19!B36</f>
        <v>170</v>
      </c>
      <c r="C36" s="31">
        <f>Enteric_19!L79</f>
        <v>102.36255720702702</v>
      </c>
      <c r="D36" s="30">
        <f>Enteric_19!N36</f>
        <v>0.13</v>
      </c>
      <c r="E36" s="30">
        <f>Enteric_19!L36</f>
        <v>0.14000000000000001</v>
      </c>
      <c r="F36" s="45">
        <f t="shared" si="1"/>
        <v>0.12427757622966969</v>
      </c>
      <c r="G36" s="115">
        <f t="shared" si="2"/>
        <v>45.361315323829437</v>
      </c>
      <c r="H36" s="104">
        <f>Enteric_19!E36</f>
        <v>0</v>
      </c>
      <c r="I36" s="104">
        <f>Enteric_19!G36</f>
        <v>0</v>
      </c>
      <c r="J36" s="105">
        <f t="shared" si="3"/>
        <v>0</v>
      </c>
      <c r="K36" s="105">
        <f>Enteric_19!C36</f>
        <v>0.68</v>
      </c>
      <c r="L36" s="106">
        <f>Enteric_19!E79</f>
        <v>11.423529149945891</v>
      </c>
      <c r="M36" s="61">
        <f t="shared" si="21"/>
        <v>1.6309214412140862E-2</v>
      </c>
      <c r="N36" s="104">
        <f t="shared" si="19"/>
        <v>1.6309214412140862E-2</v>
      </c>
      <c r="O36" s="113">
        <f t="shared" si="4"/>
        <v>5.9528632604314149</v>
      </c>
      <c r="P36" s="45">
        <f t="shared" si="20"/>
        <v>0.13123215713509581</v>
      </c>
      <c r="Q36" s="31">
        <f>G36-O36</f>
        <v>39.408452063398023</v>
      </c>
      <c r="R36" s="45">
        <f>(Q36*1000/B36)/365</f>
        <v>0.63510801069134604</v>
      </c>
    </row>
    <row r="37" spans="1:46">
      <c r="A37" s="96" t="str">
        <f>Enteric_19!A37</f>
        <v>Eastern Europe</v>
      </c>
      <c r="B37" s="107"/>
      <c r="C37" s="107"/>
      <c r="D37" s="108"/>
      <c r="E37" s="108"/>
      <c r="F37" s="48"/>
      <c r="G37" s="116"/>
      <c r="H37" s="109"/>
      <c r="I37" s="109"/>
      <c r="J37" s="110"/>
      <c r="K37" s="110"/>
      <c r="L37" s="111"/>
      <c r="M37" s="111"/>
      <c r="N37" s="109"/>
      <c r="O37" s="114"/>
      <c r="P37" s="97">
        <f>SUMPRODUCT(P38:P41,D38:D41)</f>
        <v>0.17051684101636114</v>
      </c>
      <c r="Q37" s="9">
        <f>SUMPRODUCT(Q38:Q41,D38:D41)</f>
        <v>55.188819324057462</v>
      </c>
      <c r="R37" s="97">
        <f>SUMPRODUCT(R38:R41,D38:D41)</f>
        <v>0.35265086410389368</v>
      </c>
    </row>
    <row r="38" spans="1:46">
      <c r="A38" s="47" t="str">
        <f>Enteric_19!A38</f>
        <v>Mature Males</v>
      </c>
      <c r="B38" s="31">
        <f>Enteric_19!B38</f>
        <v>650</v>
      </c>
      <c r="C38" s="31">
        <f>Enteric_19!L81</f>
        <v>147.6810354900469</v>
      </c>
      <c r="D38" s="30">
        <f>Enteric_19!N38</f>
        <v>0.08</v>
      </c>
      <c r="E38" s="30">
        <f>Enteric_19!L38</f>
        <v>0.13</v>
      </c>
      <c r="F38" s="45">
        <f t="shared" si="1"/>
        <v>0.16649135708363011</v>
      </c>
      <c r="G38" s="115">
        <f t="shared" si="2"/>
        <v>60.769345335524989</v>
      </c>
      <c r="H38" s="104">
        <f>Enteric_19!E38</f>
        <v>0</v>
      </c>
      <c r="I38" s="104">
        <f>Enteric_19!G38</f>
        <v>0</v>
      </c>
      <c r="J38" s="105">
        <f t="shared" si="3"/>
        <v>0</v>
      </c>
      <c r="K38" s="105">
        <f>Enteric_19!C38</f>
        <v>0</v>
      </c>
      <c r="L38" s="106">
        <f>Enteric_19!E81</f>
        <v>0</v>
      </c>
      <c r="M38" s="106"/>
      <c r="N38" s="104">
        <f t="shared" ref="N38:N41" si="22">J38+M38</f>
        <v>0</v>
      </c>
      <c r="O38" s="113">
        <f t="shared" si="4"/>
        <v>0</v>
      </c>
      <c r="P38" s="45">
        <f t="shared" ref="P38:P41" si="23">N38/F38</f>
        <v>0</v>
      </c>
      <c r="Q38" s="31">
        <f>G38-O38</f>
        <v>60.769345335524989</v>
      </c>
      <c r="R38" s="45">
        <f>(Q38*1000/B38)/365</f>
        <v>0.25614054935943092</v>
      </c>
    </row>
    <row r="39" spans="1:46">
      <c r="A39" s="47" t="str">
        <f>Enteric_19!A39</f>
        <v>Mature Females</v>
      </c>
      <c r="B39" s="31">
        <f>Enteric_19!B39</f>
        <v>550</v>
      </c>
      <c r="C39" s="31">
        <f>Enteric_19!L82</f>
        <v>193.18189284284051</v>
      </c>
      <c r="D39" s="30">
        <f>Enteric_19!N39</f>
        <v>0.62</v>
      </c>
      <c r="E39" s="30">
        <f>Enteric_19!L39</f>
        <v>0.13</v>
      </c>
      <c r="F39" s="45">
        <f t="shared" si="1"/>
        <v>0.21778771659247062</v>
      </c>
      <c r="G39" s="115">
        <f t="shared" si="2"/>
        <v>79.492516556251772</v>
      </c>
      <c r="H39" s="104">
        <f>Enteric_19!E39</f>
        <v>4</v>
      </c>
      <c r="I39" s="104">
        <f>Enteric_19!G39/100</f>
        <v>7.4999999999999997E-2</v>
      </c>
      <c r="J39" s="105">
        <f t="shared" si="3"/>
        <v>4.7021943573667714E-2</v>
      </c>
      <c r="K39" s="105">
        <f>Enteric_19!C39</f>
        <v>0</v>
      </c>
      <c r="L39" s="106">
        <f>Enteric_19!E82</f>
        <v>0</v>
      </c>
      <c r="M39" s="106"/>
      <c r="N39" s="104">
        <f t="shared" si="22"/>
        <v>4.7021943573667714E-2</v>
      </c>
      <c r="O39" s="113">
        <f t="shared" si="4"/>
        <v>17.163009404388717</v>
      </c>
      <c r="P39" s="45">
        <f t="shared" si="23"/>
        <v>0.21590723439034101</v>
      </c>
      <c r="Q39" s="31">
        <f>G39-O39</f>
        <v>62.329507151863055</v>
      </c>
      <c r="R39" s="45">
        <f>(Q39*1000/B39)/365</f>
        <v>0.31048322367055076</v>
      </c>
    </row>
    <row r="40" spans="1:46">
      <c r="A40" s="47" t="str">
        <f>Enteric_19!A40</f>
        <v>Growing animals</v>
      </c>
      <c r="B40" s="31">
        <f>Enteric_19!B40</f>
        <v>350</v>
      </c>
      <c r="C40" s="31">
        <f>Enteric_19!L83</f>
        <v>127.57931532033788</v>
      </c>
      <c r="D40" s="30">
        <f>Enteric_19!N40</f>
        <v>0.14000000000000001</v>
      </c>
      <c r="E40" s="30">
        <f>Enteric_19!L40</f>
        <v>0.13</v>
      </c>
      <c r="F40" s="45">
        <f t="shared" si="1"/>
        <v>0.14382925521208825</v>
      </c>
      <c r="G40" s="115">
        <f t="shared" si="2"/>
        <v>52.497678152412213</v>
      </c>
      <c r="H40" s="104">
        <f>Enteric_19!E40</f>
        <v>0</v>
      </c>
      <c r="I40" s="104">
        <f>Enteric_19!G40</f>
        <v>0</v>
      </c>
      <c r="J40" s="98">
        <f t="shared" si="3"/>
        <v>0</v>
      </c>
      <c r="K40" s="105">
        <f>Enteric_19!C40</f>
        <v>0.55000000000000004</v>
      </c>
      <c r="L40" s="106">
        <f>Enteric_19!E83</f>
        <v>11.189723178677667</v>
      </c>
      <c r="M40" s="61">
        <f t="shared" ref="M40:M41" si="24">((268-7.03*L40/K40)*K40/1000)/6.25</f>
        <v>1.099779936862336E-2</v>
      </c>
      <c r="N40" s="104">
        <f t="shared" si="22"/>
        <v>1.099779936862336E-2</v>
      </c>
      <c r="O40" s="113">
        <f t="shared" si="4"/>
        <v>4.0141967695475262</v>
      </c>
      <c r="P40" s="45">
        <f t="shared" si="23"/>
        <v>7.6464272532081087E-2</v>
      </c>
      <c r="Q40" s="31">
        <f>G40-O40</f>
        <v>48.483481382864689</v>
      </c>
      <c r="R40" s="45">
        <f>(Q40*1000/B40)/365</f>
        <v>0.37951844526704254</v>
      </c>
    </row>
    <row r="41" spans="1:46" s="171" customFormat="1">
      <c r="A41" s="47" t="str">
        <f>Enteric_19!A41</f>
        <v xml:space="preserve">Calves </v>
      </c>
      <c r="B41" s="31">
        <f>Enteric_19!B41</f>
        <v>155</v>
      </c>
      <c r="C41" s="31">
        <f>Enteric_19!L84</f>
        <v>88.746183311318191</v>
      </c>
      <c r="D41" s="30">
        <f>Enteric_19!N41</f>
        <v>0.16</v>
      </c>
      <c r="E41" s="30">
        <f>Enteric_19!L41</f>
        <v>0.13</v>
      </c>
      <c r="F41" s="45">
        <f t="shared" si="1"/>
        <v>0.10004989771682485</v>
      </c>
      <c r="G41" s="115">
        <f t="shared" si="2"/>
        <v>36.51821266664107</v>
      </c>
      <c r="H41" s="104">
        <f>Enteric_19!E41</f>
        <v>0</v>
      </c>
      <c r="I41" s="104">
        <f>Enteric_19!G41</f>
        <v>0</v>
      </c>
      <c r="J41" s="98">
        <f t="shared" si="3"/>
        <v>0</v>
      </c>
      <c r="K41" s="105">
        <f>Enteric_19!C41</f>
        <v>0.66</v>
      </c>
      <c r="L41" s="106">
        <f>Enteric_19!E84</f>
        <v>10.734671899003455</v>
      </c>
      <c r="M41" s="61">
        <f t="shared" si="24"/>
        <v>1.6226441048000913E-2</v>
      </c>
      <c r="N41" s="104">
        <f t="shared" si="22"/>
        <v>1.6226441048000913E-2</v>
      </c>
      <c r="O41" s="113">
        <f t="shared" si="4"/>
        <v>5.9226509825203335</v>
      </c>
      <c r="P41" s="45">
        <f t="shared" si="23"/>
        <v>0.16218348462411472</v>
      </c>
      <c r="Q41" s="31">
        <f>G41-O41</f>
        <v>30.595561684120735</v>
      </c>
      <c r="R41" s="45">
        <f>(Q41*1000/B41)/365</f>
        <v>0.54079649463757373</v>
      </c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</row>
    <row r="42" spans="1:46">
      <c r="Q42" s="6"/>
      <c r="R42" s="172"/>
    </row>
    <row r="43" spans="1:46">
      <c r="Q43" s="6"/>
      <c r="R43" s="172"/>
    </row>
    <row r="44" spans="1:46">
      <c r="Q44" s="3"/>
    </row>
  </sheetData>
  <phoneticPr fontId="2" type="noConversion"/>
  <pageMargins left="0.23622047244094491" right="0.23622047244094491" top="0.74803149606299213" bottom="0.74803149606299213" header="0.31496062992125984" footer="0.31496062992125984"/>
  <pageSetup paperSize="9" scale="75" orientation="landscape" r:id="rId1"/>
  <headerFooter alignWithMargins="0"/>
  <customProperties>
    <customPr name="EpmWorksheetKeyString_GU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A6FC8FEB8568A4E8A46DD6F55BF44C0" ma:contentTypeVersion="7" ma:contentTypeDescription="Create a new document." ma:contentTypeScope="" ma:versionID="49bbd94320cb96796bb1eb24ba395277">
  <xsd:schema xmlns:xsd="http://www.w3.org/2001/XMLSchema" xmlns:xs="http://www.w3.org/2001/XMLSchema" xmlns:p="http://schemas.microsoft.com/office/2006/metadata/properties" xmlns:ns2="20b51df3-9bd5-4eb3-955b-252f8063384c" xmlns:ns3="4faa9c72-9366-46b0-9f83-a55781906e46" targetNamespace="http://schemas.microsoft.com/office/2006/metadata/properties" ma:root="true" ma:fieldsID="5125ca13a4f9b8de077870b4d81eeaeb" ns2:_="" ns3:_="">
    <xsd:import namespace="20b51df3-9bd5-4eb3-955b-252f8063384c"/>
    <xsd:import namespace="4faa9c72-9366-46b0-9f83-a55781906e4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b51df3-9bd5-4eb3-955b-252f806338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internalName="MediaServiceAutoTags" ma:readOnly="true">
      <xsd:simpleType>
        <xsd:restriction base="dms:Text"/>
      </xsd:simpleType>
    </xsd:element>
    <xsd:element name="MediaServiceLocation" ma:index="14" nillable="true" ma:displayName="MediaService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aa9c72-9366-46b0-9f83-a55781906e4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74767C7-34B6-4019-814F-572AC9A628F6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20b51df3-9bd5-4eb3-955b-252f8063384c"/>
    <ds:schemaRef ds:uri="4faa9c72-9366-46b0-9f83-a55781906e46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030C621A-B25C-45F3-9EAD-AECEA9BF818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0b51df3-9bd5-4eb3-955b-252f8063384c"/>
    <ds:schemaRef ds:uri="4faa9c72-9366-46b0-9f83-a55781906e4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1511D41-464C-47F3-BF6E-5B211112F05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Enteric_19</vt:lpstr>
      <vt:lpstr>VS_19</vt:lpstr>
      <vt:lpstr>Nex_19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Magda</dc:creator>
  <cp:lastModifiedBy>Sandro Federici</cp:lastModifiedBy>
  <cp:lastPrinted>2018-11-28T08:16:40Z</cp:lastPrinted>
  <dcterms:created xsi:type="dcterms:W3CDTF">1996-10-14T23:33:28Z</dcterms:created>
  <dcterms:modified xsi:type="dcterms:W3CDTF">2023-05-30T07:39:21Z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0x0101002A6FC8FEB8568A4E8A46DD6F55BF44C0</vt:lpwstr>
  </property>
</Properties>
</file>